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firstSheet="6" activeTab="7"/>
  </bookViews>
  <sheets>
    <sheet name="Stock" sheetId="1" state="hidden" r:id="rId1"/>
    <sheet name="Bank rec 15-16" sheetId="2" state="hidden" r:id="rId2"/>
    <sheet name="Imprest" sheetId="3" state="hidden" r:id="rId3"/>
    <sheet name="Fixed asets" sheetId="4" state="hidden" r:id="rId4"/>
    <sheet name="Trial Balance" sheetId="5" state="hidden" r:id="rId5"/>
    <sheet name="Drs &amp; Crs" sheetId="6" state="hidden" r:id="rId6"/>
    <sheet name="Inc &amp; Exp acc" sheetId="7" r:id="rId7"/>
    <sheet name="Balance sheet" sheetId="8" r:id="rId8"/>
    <sheet name="Income" sheetId="9" state="hidden" r:id="rId9"/>
    <sheet name="Expenditure" sheetId="10" state="hidden" r:id="rId10"/>
    <sheet name="New format Notes" sheetId="11" state="hidden" r:id="rId11"/>
    <sheet name="Notes Summary" sheetId="12" state="hidden" r:id="rId12"/>
    <sheet name="Bank Rec 31 Dec 2016" sheetId="13" state="hidden" r:id="rId13"/>
    <sheet name="Bank Rec 31 March " sheetId="14" state="hidden" r:id="rId14"/>
    <sheet name="Monthly report" sheetId="15" state="hidden" r:id="rId15"/>
    <sheet name="Winding up options" sheetId="16" state="hidden" r:id="rId16"/>
  </sheets>
  <externalReferences>
    <externalReference r:id="rId19"/>
    <externalReference r:id="rId20"/>
  </externalReferences>
  <definedNames>
    <definedName name="_xlnm.Print_Area" localSheetId="9">'Expenditure'!$A$1:$AM$246</definedName>
    <definedName name="_xlnm.Print_Area" localSheetId="14">'Monthly report'!$B$1:$I$75</definedName>
    <definedName name="_xlnm.Print_Area" localSheetId="10">'New format Notes'!$A$1:$U$25</definedName>
    <definedName name="_xlnm.Print_Area" localSheetId="11">'Notes Summary'!$A$1:$F$24</definedName>
    <definedName name="_xlnm.Print_Titles" localSheetId="9">'Expenditure'!$B:$D,'Expenditure'!$1:$5</definedName>
    <definedName name="_xlnm.Print_Titles" localSheetId="8">'Income'!$B:$D,'Income'!$1:$5</definedName>
  </definedNames>
  <calcPr fullCalcOnLoad="1"/>
</workbook>
</file>

<file path=xl/sharedStrings.xml><?xml version="1.0" encoding="utf-8"?>
<sst xmlns="http://schemas.openxmlformats.org/spreadsheetml/2006/main" count="1414" uniqueCount="582">
  <si>
    <t>Championships</t>
  </si>
  <si>
    <t>Teams &amp; Matches</t>
  </si>
  <si>
    <t>Date</t>
  </si>
  <si>
    <t>Account</t>
  </si>
  <si>
    <t>Cheque</t>
  </si>
  <si>
    <t>National</t>
  </si>
  <si>
    <t>Equipment</t>
  </si>
  <si>
    <t>Track &amp; Field</t>
  </si>
  <si>
    <t>Cross</t>
  </si>
  <si>
    <t>Road</t>
  </si>
  <si>
    <t xml:space="preserve">Race </t>
  </si>
  <si>
    <t>Track &amp;</t>
  </si>
  <si>
    <t>No.</t>
  </si>
  <si>
    <t>Standards</t>
  </si>
  <si>
    <t>Office</t>
  </si>
  <si>
    <t>Affiliation</t>
  </si>
  <si>
    <t>Stock</t>
  </si>
  <si>
    <t>Senior</t>
  </si>
  <si>
    <t>Junior</t>
  </si>
  <si>
    <t>Indoor</t>
  </si>
  <si>
    <t>Inter-</t>
  </si>
  <si>
    <t>Country</t>
  </si>
  <si>
    <t>Running</t>
  </si>
  <si>
    <t>Walking</t>
  </si>
  <si>
    <t>Field</t>
  </si>
  <si>
    <t>Budget</t>
  </si>
  <si>
    <t>Refunds</t>
  </si>
  <si>
    <t>Other</t>
  </si>
  <si>
    <t>Fees</t>
  </si>
  <si>
    <t>Club</t>
  </si>
  <si>
    <t>County</t>
  </si>
  <si>
    <t>TOTAL</t>
  </si>
  <si>
    <t>Income</t>
  </si>
  <si>
    <t>Matches</t>
  </si>
  <si>
    <t>Interest</t>
  </si>
  <si>
    <t>Details</t>
  </si>
  <si>
    <t>Event</t>
  </si>
  <si>
    <t>Clothing</t>
  </si>
  <si>
    <t>Stationery</t>
  </si>
  <si>
    <t>Race</t>
  </si>
  <si>
    <t>Unattached</t>
  </si>
  <si>
    <t>Paying</t>
  </si>
  <si>
    <t>Permit</t>
  </si>
  <si>
    <t>Sales</t>
  </si>
  <si>
    <t>Clocks</t>
  </si>
  <si>
    <t>Entry Fees</t>
  </si>
  <si>
    <t>in slip</t>
  </si>
  <si>
    <t xml:space="preserve">Paying </t>
  </si>
  <si>
    <t>FATS</t>
  </si>
  <si>
    <t>Photo finish</t>
  </si>
  <si>
    <t>Notes</t>
  </si>
  <si>
    <t>£</t>
  </si>
  <si>
    <t>Expenditure</t>
  </si>
  <si>
    <t>12/6 Stage</t>
  </si>
  <si>
    <t>Race Walking</t>
  </si>
  <si>
    <t xml:space="preserve">Bank </t>
  </si>
  <si>
    <t>Charges</t>
  </si>
  <si>
    <t>Cash Book Summary</t>
  </si>
  <si>
    <t>Receipts per cash book</t>
  </si>
  <si>
    <t>Payments per cash book</t>
  </si>
  <si>
    <t>Miscellaneous income</t>
  </si>
  <si>
    <t>Equipment and stock</t>
  </si>
  <si>
    <t>Professional fees</t>
  </si>
  <si>
    <t>Track &amp; Field/Race Walking</t>
  </si>
  <si>
    <t>Road Running</t>
  </si>
  <si>
    <t>Cross Country</t>
  </si>
  <si>
    <t>Depreciation</t>
  </si>
  <si>
    <t>Sports equipment</t>
  </si>
  <si>
    <t>Office equipment</t>
  </si>
  <si>
    <t>Represented by:</t>
  </si>
  <si>
    <r>
      <t>Less</t>
    </r>
    <r>
      <rPr>
        <sz val="12"/>
        <rFont val="Arial"/>
        <family val="0"/>
      </rPr>
      <t>: depreciation</t>
    </r>
  </si>
  <si>
    <t>Vests/shirts/polos</t>
  </si>
  <si>
    <t>Debtors</t>
  </si>
  <si>
    <t>Imprest balances</t>
  </si>
  <si>
    <t>Creditors</t>
  </si>
  <si>
    <t>addition</t>
  </si>
  <si>
    <t>Addition</t>
  </si>
  <si>
    <t>Eligibility</t>
  </si>
  <si>
    <t>T&amp;F</t>
  </si>
  <si>
    <t>Events</t>
  </si>
  <si>
    <t xml:space="preserve">Indoor </t>
  </si>
  <si>
    <t>Indoor Champs.</t>
  </si>
  <si>
    <t>Ref.</t>
  </si>
  <si>
    <t>Inter Co.</t>
  </si>
  <si>
    <t>Contingencies</t>
  </si>
  <si>
    <t>Bank</t>
  </si>
  <si>
    <t>Comb.Even</t>
  </si>
  <si>
    <t>(per balance sheet)</t>
  </si>
  <si>
    <t>Dr</t>
  </si>
  <si>
    <t>Cr</t>
  </si>
  <si>
    <t>Office Equipment</t>
  </si>
  <si>
    <t>Standard Badges</t>
  </si>
  <si>
    <t>Net assets</t>
  </si>
  <si>
    <t>Track &amp; Field Leagues</t>
  </si>
  <si>
    <t>Equipment &amp; stock</t>
  </si>
  <si>
    <t>Track &amp; Field/Race walking</t>
  </si>
  <si>
    <t>Imprest Balance</t>
  </si>
  <si>
    <t>Opening balances</t>
  </si>
  <si>
    <t>Debtors/Creditors</t>
  </si>
  <si>
    <t>Journals</t>
  </si>
  <si>
    <t>Balance sheet</t>
  </si>
  <si>
    <t>Imprest accounts</t>
  </si>
  <si>
    <t>Difference</t>
  </si>
  <si>
    <t>Sports Equipment - 15% RB</t>
  </si>
  <si>
    <t>NBV b/fwd</t>
  </si>
  <si>
    <t>Depreciation Charge</t>
  </si>
  <si>
    <t>NBV c/fwd</t>
  </si>
  <si>
    <t>Office Equipment - 25% RB</t>
  </si>
  <si>
    <t>Dereciation Charge</t>
  </si>
  <si>
    <t>Additions</t>
  </si>
  <si>
    <t xml:space="preserve">Assets/Interest/Imprest </t>
  </si>
  <si>
    <t>Audit Fees</t>
  </si>
  <si>
    <t>Net</t>
  </si>
  <si>
    <t>Standard badges</t>
  </si>
  <si>
    <t>Vests / skirts / polos</t>
  </si>
  <si>
    <t>Ties / Scarves</t>
  </si>
  <si>
    <t>Change</t>
  </si>
  <si>
    <t>Staff</t>
  </si>
  <si>
    <t>Postage</t>
  </si>
  <si>
    <t>Printing</t>
  </si>
  <si>
    <t>Board</t>
  </si>
  <si>
    <t>Expenses</t>
  </si>
  <si>
    <t>Rent</t>
  </si>
  <si>
    <t>Rates</t>
  </si>
  <si>
    <t>Phones</t>
  </si>
  <si>
    <t>IT</t>
  </si>
  <si>
    <t>Marketing</t>
  </si>
  <si>
    <t>PR</t>
  </si>
  <si>
    <t>Insurance</t>
  </si>
  <si>
    <t xml:space="preserve">Audit </t>
  </si>
  <si>
    <t xml:space="preserve">Start </t>
  </si>
  <si>
    <t>Fitness</t>
  </si>
  <si>
    <t xml:space="preserve">Pink </t>
  </si>
  <si>
    <t>Legacy</t>
  </si>
  <si>
    <t>Miscellaneous</t>
  </si>
  <si>
    <t xml:space="preserve">A) Running Costs </t>
  </si>
  <si>
    <t>Expenditure:-</t>
  </si>
  <si>
    <t xml:space="preserve"> Staff</t>
  </si>
  <si>
    <t>Board expenses</t>
  </si>
  <si>
    <t>Marketing/PR/Fund Raising</t>
  </si>
  <si>
    <t>Income:-</t>
  </si>
  <si>
    <t>Surplus/(Deficit) on Running Costs</t>
  </si>
  <si>
    <t xml:space="preserve">B) Competition - </t>
  </si>
  <si>
    <t>- Championships</t>
  </si>
  <si>
    <t>Track and Field</t>
  </si>
  <si>
    <t>-Income</t>
  </si>
  <si>
    <t>Sponsorship - Start Fitness</t>
  </si>
  <si>
    <t>Surplus/(Deficit) on Competition</t>
  </si>
  <si>
    <t xml:space="preserve">Northern Athletics </t>
  </si>
  <si>
    <t>Comb.</t>
  </si>
  <si>
    <t>Surplus/(Deficit)</t>
  </si>
  <si>
    <t>NoEAA</t>
  </si>
  <si>
    <t>&amp; Petty cash</t>
  </si>
  <si>
    <t>Balance from ledger</t>
  </si>
  <si>
    <t xml:space="preserve"> Telephones/IT/Website</t>
  </si>
  <si>
    <t>Equipment / Stock</t>
  </si>
  <si>
    <t>First Aid</t>
  </si>
  <si>
    <t>Results</t>
  </si>
  <si>
    <t>U-17/15</t>
  </si>
  <si>
    <t>T&amp;F Leagues</t>
  </si>
  <si>
    <t>Start Fitness</t>
  </si>
  <si>
    <t>Bank Interest</t>
  </si>
  <si>
    <t>Hire of equipment / other income</t>
  </si>
  <si>
    <t xml:space="preserve">Staffing </t>
  </si>
  <si>
    <t>Premises</t>
  </si>
  <si>
    <t>Office expenses</t>
  </si>
  <si>
    <t xml:space="preserve">Track and Field Leagues </t>
  </si>
  <si>
    <t>Championships:-</t>
  </si>
  <si>
    <t>Matches:-</t>
  </si>
  <si>
    <t>Northern Athletics</t>
  </si>
  <si>
    <t>Sponsorship:-</t>
  </si>
  <si>
    <t xml:space="preserve"> - Start Fitness</t>
  </si>
  <si>
    <t>Bank interest</t>
  </si>
  <si>
    <t>Total Income</t>
  </si>
  <si>
    <t>Staffing</t>
  </si>
  <si>
    <t>Championships: -</t>
  </si>
  <si>
    <t>Teams and Matches:-</t>
  </si>
  <si>
    <t>Depreciation:-</t>
  </si>
  <si>
    <t>Total Expenditure</t>
  </si>
  <si>
    <t>Surplus /</t>
  </si>
  <si>
    <t>(Deficit)</t>
  </si>
  <si>
    <t xml:space="preserve">1) Track and Field Championships </t>
  </si>
  <si>
    <t>2) Road Relay Championships</t>
  </si>
  <si>
    <t xml:space="preserve">3) Cross Country Championships </t>
  </si>
  <si>
    <t>Joint Championships</t>
  </si>
  <si>
    <t>Surplus/(Deficit) for the year</t>
  </si>
  <si>
    <t>Ledger ref.</t>
  </si>
  <si>
    <t>England</t>
  </si>
  <si>
    <t>Athletics</t>
  </si>
  <si>
    <t>Comp. Grant</t>
  </si>
  <si>
    <t>England Athletics - Competition Grant</t>
  </si>
  <si>
    <t>England Athletics Competition Grant</t>
  </si>
  <si>
    <t>(10,648 x 15%)</t>
  </si>
  <si>
    <t>(7,538 x 25%)</t>
  </si>
  <si>
    <t>Ledger</t>
  </si>
  <si>
    <t>Sports equipment at 1 April 2009</t>
  </si>
  <si>
    <t>Office equipment at 1 April 2009</t>
  </si>
  <si>
    <t xml:space="preserve"> - Matches / Events</t>
  </si>
  <si>
    <t>Relays</t>
  </si>
  <si>
    <t>Road Relays</t>
  </si>
  <si>
    <t>Officials</t>
  </si>
  <si>
    <t>Catering</t>
  </si>
  <si>
    <t>Senior/U20</t>
  </si>
  <si>
    <t>Venue</t>
  </si>
  <si>
    <t>XC</t>
  </si>
  <si>
    <t>Relay</t>
  </si>
  <si>
    <t xml:space="preserve">£    </t>
  </si>
  <si>
    <t>£000</t>
  </si>
  <si>
    <t>Surplus / (Deficit)</t>
  </si>
  <si>
    <t>Total Surplus/(Deficit)</t>
  </si>
  <si>
    <t>Medals</t>
  </si>
  <si>
    <t xml:space="preserve">Total </t>
  </si>
  <si>
    <t>&amp; Exp.</t>
  </si>
  <si>
    <t xml:space="preserve">   £</t>
  </si>
  <si>
    <t xml:space="preserve">    £</t>
  </si>
  <si>
    <t>Area</t>
  </si>
  <si>
    <t>Corporation Tax</t>
  </si>
  <si>
    <t>Corp Tax</t>
  </si>
  <si>
    <t>Marshalls</t>
  </si>
  <si>
    <t>Barriers</t>
  </si>
  <si>
    <t>Draft</t>
  </si>
  <si>
    <t>BACS</t>
  </si>
  <si>
    <t>DD</t>
  </si>
  <si>
    <t>BT</t>
  </si>
  <si>
    <t>Viking</t>
  </si>
  <si>
    <t>Ballcraft</t>
  </si>
  <si>
    <t>U/17/15</t>
  </si>
  <si>
    <t>U-20</t>
  </si>
  <si>
    <t>Connect</t>
  </si>
  <si>
    <t>R Cameron</t>
  </si>
  <si>
    <t>R Wood</t>
  </si>
  <si>
    <t>Rec to ledger:</t>
  </si>
  <si>
    <t>Interest not in ledger</t>
  </si>
  <si>
    <t xml:space="preserve"> Postage/Printing/Stationery</t>
  </si>
  <si>
    <t>2014-15</t>
  </si>
  <si>
    <t>XC Relays</t>
  </si>
  <si>
    <t>Photo Finish costs</t>
  </si>
  <si>
    <t>Photo Finish fees</t>
  </si>
  <si>
    <t>Option 2</t>
  </si>
  <si>
    <t>Open</t>
  </si>
  <si>
    <t>Bank charges creditor</t>
  </si>
  <si>
    <t>Audit fees creditor</t>
  </si>
  <si>
    <t>W Dawson</t>
  </si>
  <si>
    <t>Option 3</t>
  </si>
  <si>
    <t>2014-16</t>
  </si>
  <si>
    <t xml:space="preserve">Bank Interest </t>
  </si>
  <si>
    <t>Master Plan</t>
  </si>
  <si>
    <t>Photo</t>
  </si>
  <si>
    <t>Finish</t>
  </si>
  <si>
    <t>K Smith</t>
  </si>
  <si>
    <t>Sportsoft</t>
  </si>
  <si>
    <t>Fox</t>
  </si>
  <si>
    <t>M Steer</t>
  </si>
  <si>
    <t>Bacs</t>
  </si>
  <si>
    <t>IT provision</t>
  </si>
  <si>
    <t>SIV</t>
  </si>
  <si>
    <t>J Simpson</t>
  </si>
  <si>
    <t>T&amp;F League</t>
  </si>
  <si>
    <t>Paid 21 Jan</t>
  </si>
  <si>
    <t>Board expenses provision</t>
  </si>
  <si>
    <t>Northern Athletics - Financial Projections</t>
  </si>
  <si>
    <t>Assumptions:</t>
  </si>
  <si>
    <t>Annual cost</t>
  </si>
  <si>
    <t>End date</t>
  </si>
  <si>
    <t>2) No EA funding after 2015-16</t>
  </si>
  <si>
    <t>Estimated balance as at 31 March 2016</t>
  </si>
  <si>
    <t>3) No EA funding or Start Fitness sponsorship after 2015-16</t>
  </si>
  <si>
    <t>end of 2019-20</t>
  </si>
  <si>
    <t>end of 2017-18</t>
  </si>
  <si>
    <t>mid  2017-18</t>
  </si>
  <si>
    <t>1) Same deficit as 2015-16, EA funding and Start Fitness funding continues.</t>
  </si>
  <si>
    <t>Estimated costs of winding up NA</t>
  </si>
  <si>
    <t>From April 2016 - no. years before funding runs out</t>
  </si>
  <si>
    <t>M.Sherman</t>
  </si>
  <si>
    <t>Welsh Athletics</t>
  </si>
  <si>
    <t>Search</t>
  </si>
  <si>
    <t>NRB</t>
  </si>
  <si>
    <t>RR Expenses</t>
  </si>
  <si>
    <t>Salary provision Mar</t>
  </si>
  <si>
    <t>T Hood</t>
  </si>
  <si>
    <t>G Patterson</t>
  </si>
  <si>
    <t>E Vernon</t>
  </si>
  <si>
    <t>A Wiles</t>
  </si>
  <si>
    <t>H Clitheroe</t>
  </si>
  <si>
    <t>RMA</t>
  </si>
  <si>
    <t>EA (Mar)</t>
  </si>
  <si>
    <t>Eve</t>
  </si>
  <si>
    <t>Liverpool AC</t>
  </si>
  <si>
    <t>Current &amp; Reserve a/c balances 31 March 2015</t>
  </si>
  <si>
    <t>Northern Athletics - Fixed Assets 2014-15</t>
  </si>
  <si>
    <t>Current Bank Balance</t>
  </si>
  <si>
    <t>Natwest reserve</t>
  </si>
  <si>
    <t>Corporation Tax payable</t>
  </si>
  <si>
    <t>Bank Statement Balance</t>
  </si>
  <si>
    <t>Net assets brought forward</t>
  </si>
  <si>
    <t>6/4 Stage &amp; Young Athletes</t>
  </si>
  <si>
    <t>Senior Championships</t>
  </si>
  <si>
    <t xml:space="preserve">Junior Championships </t>
  </si>
  <si>
    <t>Inter-County</t>
  </si>
  <si>
    <t>Rothwell H</t>
  </si>
  <si>
    <t>Ref 258</t>
  </si>
  <si>
    <t>Adjustment - balance - add to Misc exp</t>
  </si>
  <si>
    <t>Cash balance as at 31 March 2015</t>
  </si>
  <si>
    <t>Forecast deficit 2015-16</t>
  </si>
  <si>
    <t>NatWest Account</t>
  </si>
  <si>
    <t>Bank deposits</t>
  </si>
  <si>
    <t>Income 2016-17</t>
  </si>
  <si>
    <t>Expenditure 2016-17</t>
  </si>
  <si>
    <t>£2k from ECCA from 2015-16</t>
  </si>
  <si>
    <t xml:space="preserve">Young Athletes - </t>
  </si>
  <si>
    <t>Direct</t>
  </si>
  <si>
    <t>EA Affiliation</t>
  </si>
  <si>
    <t>Kirklees Council</t>
  </si>
  <si>
    <t>British Red Cross</t>
  </si>
  <si>
    <t>12/6 Stage Officials</t>
  </si>
  <si>
    <t>Sale H</t>
  </si>
  <si>
    <t>EA</t>
  </si>
  <si>
    <t>Wakefield H</t>
  </si>
  <si>
    <t>R Wood 16/5 &amp; 6</t>
  </si>
  <si>
    <t>Card</t>
  </si>
  <si>
    <t>15-16 Drs &amp; Crs</t>
  </si>
  <si>
    <t>XC Grant</t>
  </si>
  <si>
    <t>A J Gallagher</t>
  </si>
  <si>
    <t>Senior -  12 June Manchester</t>
  </si>
  <si>
    <t>EA April/May</t>
  </si>
  <si>
    <t>KAM</t>
  </si>
  <si>
    <t>KMC</t>
  </si>
  <si>
    <t xml:space="preserve"> Rent/Rates</t>
  </si>
  <si>
    <t>Indoor Open Events</t>
  </si>
  <si>
    <t>D Nicholson</t>
  </si>
  <si>
    <t>M Sherman</t>
  </si>
  <si>
    <t>R Wood 16/7&amp;8</t>
  </si>
  <si>
    <t>EA June</t>
  </si>
  <si>
    <t>Junior -  Aug - Mbro</t>
  </si>
  <si>
    <t>Petty Cash</t>
  </si>
  <si>
    <t>EA - March 2016</t>
  </si>
  <si>
    <t>Creditor 2015-16</t>
  </si>
  <si>
    <t>R Swinbank</t>
  </si>
  <si>
    <t>E Cripps</t>
  </si>
  <si>
    <t>A Flanagan</t>
  </si>
  <si>
    <t>Rickman Betts</t>
  </si>
  <si>
    <t>Corp Tax refund</t>
  </si>
  <si>
    <t>Jurys Inn</t>
  </si>
  <si>
    <t>EA July</t>
  </si>
  <si>
    <t>NEMS</t>
  </si>
  <si>
    <t>Inter County -  7 Aug. Hull</t>
  </si>
  <si>
    <t>Wakefield H&amp;AC</t>
  </si>
  <si>
    <t>Prestige Support</t>
  </si>
  <si>
    <t>HS Sports</t>
  </si>
  <si>
    <t>TVES</t>
  </si>
  <si>
    <t>Hull CC</t>
  </si>
  <si>
    <t>Dr from 15-16</t>
  </si>
  <si>
    <t>Inter Co</t>
  </si>
  <si>
    <t>Junior T&amp;F</t>
  </si>
  <si>
    <t>Bacs;Chq 3897-3905</t>
  </si>
  <si>
    <t>3897 £26.88; 3898 £17.76; 3899 £20.00; 3900 £31.36; 3901 £31.20; 3902 £14.80; 3904 £21.40; 3905 £37.60</t>
  </si>
  <si>
    <t>EA March salaries</t>
  </si>
  <si>
    <t>Annual Budget 2016-17</t>
  </si>
  <si>
    <t>2015-16 Creditors paid in 16-17</t>
  </si>
  <si>
    <t xml:space="preserve">BT Credit </t>
  </si>
  <si>
    <t>AC</t>
  </si>
  <si>
    <t>Inc</t>
  </si>
  <si>
    <t>Exp</t>
  </si>
  <si>
    <t>Surplus</t>
  </si>
  <si>
    <t>EA (Aug)</t>
  </si>
  <si>
    <t>R Wood 16/9 &amp; 10</t>
  </si>
  <si>
    <t>RR expenses</t>
  </si>
  <si>
    <t>Running Imp</t>
  </si>
  <si>
    <t>A Williams</t>
  </si>
  <si>
    <t>Gwyn Davies</t>
  </si>
  <si>
    <t>N Orr</t>
  </si>
  <si>
    <t>EA (Sept)</t>
  </si>
  <si>
    <t>E Williams</t>
  </si>
  <si>
    <t>Stamps</t>
  </si>
  <si>
    <t>MLS</t>
  </si>
  <si>
    <t>RWA</t>
  </si>
  <si>
    <t>Relays - Sheffield 22 Oct.</t>
  </si>
  <si>
    <t>Everyone Active</t>
  </si>
  <si>
    <t>Sheffield RC</t>
  </si>
  <si>
    <t>Green toilet</t>
  </si>
  <si>
    <t>Combined Events</t>
  </si>
  <si>
    <t>6/4 Stage -  25 Sept Manchester</t>
  </si>
  <si>
    <t>Sefton Park XC</t>
  </si>
  <si>
    <t>Sheffield CC</t>
  </si>
  <si>
    <t>EA - Oct.2016</t>
  </si>
  <si>
    <t>Green Light</t>
  </si>
  <si>
    <t>Jamin Sports</t>
  </si>
  <si>
    <t>M Fletcher</t>
  </si>
  <si>
    <t>Medals UK</t>
  </si>
  <si>
    <t>Yorkshire Runner</t>
  </si>
  <si>
    <t>Trafford AC</t>
  </si>
  <si>
    <t>D Cliffe</t>
  </si>
  <si>
    <t>T Millmore</t>
  </si>
  <si>
    <t>SIV - 12 Nov Open</t>
  </si>
  <si>
    <t>SIV - 3 Dec Open</t>
  </si>
  <si>
    <t xml:space="preserve">Indoor Champs - Senior/U20/U17 Jan </t>
  </si>
  <si>
    <t>EA (Nov)</t>
  </si>
  <si>
    <t>Corp. Tax</t>
  </si>
  <si>
    <t>R Burns</t>
  </si>
  <si>
    <t>Sheffield Open</t>
  </si>
  <si>
    <t>J Roden</t>
  </si>
  <si>
    <t>C Hardman</t>
  </si>
  <si>
    <t>F Davies</t>
  </si>
  <si>
    <t>J Ashcroft</t>
  </si>
  <si>
    <t>Zenith</t>
  </si>
  <si>
    <t>Midland Counties</t>
  </si>
  <si>
    <t>Emmanuel College</t>
  </si>
  <si>
    <t>S Gaines</t>
  </si>
  <si>
    <t>Liverpool H&amp;AC</t>
  </si>
  <si>
    <t>Inv 906</t>
  </si>
  <si>
    <t>Inv 905</t>
  </si>
  <si>
    <t>Part repayment of balances.</t>
  </si>
  <si>
    <t>T&amp;F League receipt not p&amp;l</t>
  </si>
  <si>
    <t>No contract in place, but assumed same amount in 2017-18</t>
  </si>
  <si>
    <t>Includes repairs to equipment</t>
  </si>
  <si>
    <t>April to Sept 2017</t>
  </si>
  <si>
    <t>Full-Year Estimated Outturn 2016-17</t>
  </si>
  <si>
    <t>EA (Dec)</t>
  </si>
  <si>
    <t>Bank Reconciliation 2015-16</t>
  </si>
  <si>
    <t>Current a/c balance b/f 1 April 2015</t>
  </si>
  <si>
    <t>Write back from 2014-15 #</t>
  </si>
  <si>
    <t xml:space="preserve">Misc exp incl in ledger </t>
  </si>
  <si>
    <t>Balance per statements @ 31 March 2016:-</t>
  </si>
  <si>
    <t>Current a/c balance 31 March 2016</t>
  </si>
  <si>
    <t>Reserve a/c balance 31 March 2016</t>
  </si>
  <si>
    <t>Payments in ledger 15-16, not in bank @ 31-03-16</t>
  </si>
  <si>
    <t>Payments not presented @ 31-03-15, presented @ 31-03-16</t>
  </si>
  <si>
    <t>Payments in ledger, not in bank @ 31-03-16</t>
  </si>
  <si>
    <t>R Ward</t>
  </si>
  <si>
    <t>J Wilkinson</t>
  </si>
  <si>
    <t>T McGuiness</t>
  </si>
  <si>
    <t>B Houghton</t>
  </si>
  <si>
    <t>S Burnett</t>
  </si>
  <si>
    <t>BACS #</t>
  </si>
  <si>
    <t>S Cowper</t>
  </si>
  <si>
    <t>E Holt</t>
  </si>
  <si>
    <t>J Shields</t>
  </si>
  <si>
    <t>Card (March</t>
  </si>
  <si>
    <t>Scottish Police</t>
  </si>
  <si>
    <t>Altrincham</t>
  </si>
  <si>
    <t>S Bayton</t>
  </si>
  <si>
    <t>R.Cameron</t>
  </si>
  <si>
    <t>Blackpool AC</t>
  </si>
  <si>
    <t>Checked to 15-16 bank statements</t>
  </si>
  <si>
    <t>Bacs payments in bank 7 April 2015</t>
  </si>
  <si>
    <t>Write back #</t>
  </si>
  <si>
    <t>Bank Reconciliation 2016-17</t>
  </si>
  <si>
    <t>Current a/c balance b/f 1 April 2016</t>
  </si>
  <si>
    <t>Current a/c balance 31 Dec 2016</t>
  </si>
  <si>
    <t>Payments in ledger, not in bank @ 31-03-16. In bank @ 31/12/16</t>
  </si>
  <si>
    <t>Ledger payments not presented @ 31-12-16</t>
  </si>
  <si>
    <t>Checked to 16-17 bank statements</t>
  </si>
  <si>
    <t>Income not in bank</t>
  </si>
  <si>
    <t>Balance per statements @ 31 Dec 2016:-</t>
  </si>
  <si>
    <t>Reserve a/c balance 31 Dec 2016</t>
  </si>
  <si>
    <t>Reserve interest</t>
  </si>
  <si>
    <t>includes £62.38 interest not in ledger</t>
  </si>
  <si>
    <t>Total @ 31 Dec</t>
  </si>
  <si>
    <t>Masterplan paid twice (Ref  32)</t>
  </si>
  <si>
    <t>Adjustments</t>
  </si>
  <si>
    <t>Ledger payments not in bank</t>
  </si>
  <si>
    <t>Ledger income not in bank</t>
  </si>
  <si>
    <t>Bank payments not in ledger</t>
  </si>
  <si>
    <t xml:space="preserve">Chq 3865 </t>
  </si>
  <si>
    <t>Receipts per ledger</t>
  </si>
  <si>
    <t>Payments per ledger</t>
  </si>
  <si>
    <t>Bank receipt not in ledger</t>
  </si>
  <si>
    <t>Bank income not in ledger PinS 101593</t>
  </si>
  <si>
    <t>Sportsoft XC</t>
  </si>
  <si>
    <t>XC Champs</t>
  </si>
  <si>
    <t>C Bennett</t>
  </si>
  <si>
    <t>S White</t>
  </si>
  <si>
    <t>K Hussey</t>
  </si>
  <si>
    <t>B Williams</t>
  </si>
  <si>
    <t>J Massingham</t>
  </si>
  <si>
    <t>E Japp</t>
  </si>
  <si>
    <t>J Driscoll</t>
  </si>
  <si>
    <t>K Carr</t>
  </si>
  <si>
    <t>A Brimage</t>
  </si>
  <si>
    <t>Toye, Kenning</t>
  </si>
  <si>
    <t>Speedy Asset</t>
  </si>
  <si>
    <t>Championships- 28 Jan Knowsley</t>
  </si>
  <si>
    <t>Fenceline</t>
  </si>
  <si>
    <t>RMS</t>
  </si>
  <si>
    <t>FR Systems</t>
  </si>
  <si>
    <t>EA Jan</t>
  </si>
  <si>
    <t>DTS</t>
  </si>
  <si>
    <t>Indoor Champs - Juniors -  5 Feb</t>
  </si>
  <si>
    <t>M Brown</t>
  </si>
  <si>
    <t>Aindale</t>
  </si>
  <si>
    <t>Farmer @ Knowsley</t>
  </si>
  <si>
    <t>Junior Indoor</t>
  </si>
  <si>
    <t>EA Feb</t>
  </si>
  <si>
    <t>M. Sherman</t>
  </si>
  <si>
    <t>L Gunn</t>
  </si>
  <si>
    <t>B Porter</t>
  </si>
  <si>
    <t>Junior 5k - March 25 Blackpool</t>
  </si>
  <si>
    <t>Prosions included above</t>
  </si>
  <si>
    <t>Salaries</t>
  </si>
  <si>
    <t>Variance from Annual Budget</t>
  </si>
  <si>
    <t>Pettitt</t>
  </si>
  <si>
    <t>Finish Line</t>
  </si>
  <si>
    <t>Sheffield City</t>
  </si>
  <si>
    <t>Hallam Uni</t>
  </si>
  <si>
    <t>AAA</t>
  </si>
  <si>
    <t>Data Protection</t>
  </si>
  <si>
    <t>Baker Tilly</t>
  </si>
  <si>
    <t>Senior Indoor Champs</t>
  </si>
  <si>
    <t>Full-Year Estimate to 31 March</t>
  </si>
  <si>
    <t>SIV - Comb. Events</t>
  </si>
  <si>
    <t>6&amp;12 stage + 5k</t>
  </si>
  <si>
    <t>EDM repair</t>
  </si>
  <si>
    <t>Road Relays March 25th may be more costs not yet received</t>
  </si>
  <si>
    <t>Income includes £264 provision for Catering</t>
  </si>
  <si>
    <t>Audit fee</t>
  </si>
  <si>
    <t xml:space="preserve"> Forecast of Income &amp; Expenditure for 2016-17</t>
  </si>
  <si>
    <t>(Forecast as at 3rd April 2017)</t>
  </si>
  <si>
    <t>Debtors / Prepayments 2015-16</t>
  </si>
  <si>
    <t>EA - Combined events (Inv. 878)</t>
  </si>
  <si>
    <t>ECCA - grant for Home Countries XC International - Falkirk (Inv. 880)</t>
  </si>
  <si>
    <t>HMRC Corp. Tax repayment - duplicate payment</t>
  </si>
  <si>
    <t>Creditors/ Deferred Income 2015-16</t>
  </si>
  <si>
    <t>Staff Costs - March 2016</t>
  </si>
  <si>
    <t>Progs.</t>
  </si>
  <si>
    <t>Northern Athletics - Costs of Competition 2016-17 (Forecast as at 3rd April)</t>
  </si>
  <si>
    <t>Progs. / Gate/Other</t>
  </si>
  <si>
    <t>Sponsors</t>
  </si>
  <si>
    <t>2016-17</t>
  </si>
  <si>
    <t>Annual Budget 2017-18</t>
  </si>
  <si>
    <t>3926</t>
  </si>
  <si>
    <t xml:space="preserve">12/6 Stage -  April 2016 </t>
  </si>
  <si>
    <t>12/6 Stage -  March 2017 Blackpool</t>
  </si>
  <si>
    <t>Blackpool Council</t>
  </si>
  <si>
    <t>Northern Athletics 2016-17</t>
  </si>
  <si>
    <t xml:space="preserve">Debtors / Prepayments </t>
  </si>
  <si>
    <t>EA invoice 926 - Combined events catering  11-12 March SIV</t>
  </si>
  <si>
    <t>ECCA - grant for Home Countries XC International - Port Talbot (Inv. 927)</t>
  </si>
  <si>
    <t xml:space="preserve">BUCS </t>
  </si>
  <si>
    <t>Sale H 920</t>
  </si>
  <si>
    <t>Sale H 925</t>
  </si>
  <si>
    <t xml:space="preserve">Creditors/ Deferred Income </t>
  </si>
  <si>
    <t>Chorley's Angels</t>
  </si>
  <si>
    <t>R Wood 17/02&amp;03</t>
  </si>
  <si>
    <t>6/12 Stage Officials</t>
  </si>
  <si>
    <t>E Clayton</t>
  </si>
  <si>
    <t>L Howarth</t>
  </si>
  <si>
    <t>H Powell</t>
  </si>
  <si>
    <t>J Schofield</t>
  </si>
  <si>
    <t>Ridgeway Textiles</t>
  </si>
  <si>
    <t>Bank Reconciliation 31st March 2017</t>
  </si>
  <si>
    <t>Balance per statements @ 31 March 2017:-</t>
  </si>
  <si>
    <t>Current a/c balance 31 March 2017</t>
  </si>
  <si>
    <t>Reserve a/c balance 31 March 2017</t>
  </si>
  <si>
    <t>C Slack</t>
  </si>
  <si>
    <t>EA (March</t>
  </si>
  <si>
    <t>C Farrell</t>
  </si>
  <si>
    <t>S Murphy</t>
  </si>
  <si>
    <t>C Parr</t>
  </si>
  <si>
    <t>T Wood</t>
  </si>
  <si>
    <t>Extended Trial Balance 2016-17</t>
  </si>
  <si>
    <t>2015-16</t>
  </si>
  <si>
    <t>Professional Fees</t>
  </si>
  <si>
    <t>Surplus / (Deficit) for the year</t>
  </si>
  <si>
    <t>31 March 2016</t>
  </si>
  <si>
    <t>31 March 2017</t>
  </si>
  <si>
    <t>Misc</t>
  </si>
  <si>
    <t>Bank a/c balances b/f 1 April 2016</t>
  </si>
  <si>
    <t>Ledger entries not in bank @ 31 March 2017</t>
  </si>
  <si>
    <t>Incl. chq 3909 &amp; 3910</t>
  </si>
  <si>
    <t xml:space="preserve">Master Plan - overpayment of invoice 85148 </t>
  </si>
  <si>
    <t>Masterplan</t>
  </si>
  <si>
    <t>Duplicate payment - see 32.</t>
  </si>
  <si>
    <t>Duplicate payment - see 238</t>
  </si>
  <si>
    <t>Returned cheque</t>
  </si>
  <si>
    <t>Reser</t>
  </si>
  <si>
    <t>Reserve Interest</t>
  </si>
  <si>
    <t>includes £67.96 interest now in ledger</t>
  </si>
  <si>
    <t>Adjustment to balance</t>
  </si>
  <si>
    <t>Balance Sheet @ 31 March 2017</t>
  </si>
  <si>
    <t>Income and Expenditure Account for the year ended 31st March 2017</t>
  </si>
  <si>
    <t>Notes to Income and Expenditure Account year ended 31 March 2017</t>
  </si>
  <si>
    <t xml:space="preserve">Junior 5k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</si>
</sst>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#,##0.0"/>
    <numFmt numFmtId="170" formatCode="_-* #,##0.0000_-;\-* #,##0.0000_-;_-* &quot;-&quot;??_-;_-@_-"/>
    <numFmt numFmtId="171" formatCode="#,###;\(#,###\)"/>
    <numFmt numFmtId="172" formatCode="#,##0.000"/>
    <numFmt numFmtId="173" formatCode="#,##0;\(#,##0\)"/>
    <numFmt numFmtId="174" formatCode="#,##0.00;\(#,##0.00\)"/>
    <numFmt numFmtId="175" formatCode="[$-809]dd\ mmmm\ yyyy"/>
    <numFmt numFmtId="176" formatCode="#,##0.0;\(#,##0.0\)"/>
    <numFmt numFmtId="177" formatCode="&quot;£&quot;#,##0.00;\(&quot;£&quot;#,##0.00\)"/>
    <numFmt numFmtId="178" formatCode="#,##0;\(#,##\)0"/>
    <numFmt numFmtId="179" formatCode="#,##0;\(\-#,##0\)"/>
    <numFmt numFmtId="180" formatCode="0.000"/>
    <numFmt numFmtId="181" formatCode="&quot;£&quot;#,##0.00"/>
  </numFmts>
  <fonts count="52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16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" fontId="7" fillId="0" borderId="22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2" xfId="0" applyFont="1" applyFill="1" applyBorder="1" applyAlignment="1">
      <alignment/>
    </xf>
    <xf numFmtId="4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4" fontId="8" fillId="0" borderId="3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32" xfId="0" applyFont="1" applyBorder="1" applyAlignment="1">
      <alignment/>
    </xf>
    <xf numFmtId="4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4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4" fontId="7" fillId="0" borderId="26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2" xfId="0" applyFont="1" applyFill="1" applyBorder="1" applyAlignment="1">
      <alignment horizontal="right"/>
    </xf>
    <xf numFmtId="4" fontId="7" fillId="0" borderId="35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5" xfId="0" applyFont="1" applyBorder="1" applyAlignment="1">
      <alignment/>
    </xf>
    <xf numFmtId="4" fontId="0" fillId="0" borderId="0" xfId="0" applyNumberFormat="1" applyAlignment="1">
      <alignment/>
    </xf>
    <xf numFmtId="0" fontId="7" fillId="32" borderId="22" xfId="0" applyFont="1" applyFill="1" applyBorder="1" applyAlignment="1">
      <alignment/>
    </xf>
    <xf numFmtId="4" fontId="7" fillId="32" borderId="2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7" fillId="0" borderId="37" xfId="0" applyFont="1" applyBorder="1" applyAlignment="1">
      <alignment/>
    </xf>
    <xf numFmtId="4" fontId="7" fillId="0" borderId="37" xfId="0" applyNumberFormat="1" applyFont="1" applyBorder="1" applyAlignment="1">
      <alignment horizontal="right"/>
    </xf>
    <xf numFmtId="0" fontId="7" fillId="32" borderId="37" xfId="0" applyFont="1" applyFill="1" applyBorder="1" applyAlignment="1">
      <alignment/>
    </xf>
    <xf numFmtId="16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0" fontId="7" fillId="0" borderId="38" xfId="0" applyFont="1" applyBorder="1" applyAlignment="1">
      <alignment/>
    </xf>
    <xf numFmtId="4" fontId="0" fillId="0" borderId="4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 horizontal="left"/>
    </xf>
    <xf numFmtId="43" fontId="7" fillId="0" borderId="41" xfId="42" applyFont="1" applyBorder="1" applyAlignment="1">
      <alignment/>
    </xf>
    <xf numFmtId="2" fontId="7" fillId="0" borderId="27" xfId="0" applyNumberFormat="1" applyFont="1" applyBorder="1" applyAlignment="1">
      <alignment/>
    </xf>
    <xf numFmtId="4" fontId="8" fillId="0" borderId="42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4" fontId="10" fillId="0" borderId="0" xfId="0" applyNumberFormat="1" applyFont="1" applyAlignment="1">
      <alignment/>
    </xf>
    <xf numFmtId="43" fontId="7" fillId="0" borderId="43" xfId="42" applyFont="1" applyBorder="1" applyAlignment="1">
      <alignment/>
    </xf>
    <xf numFmtId="43" fontId="8" fillId="0" borderId="44" xfId="42" applyFont="1" applyBorder="1" applyAlignment="1">
      <alignment horizontal="center"/>
    </xf>
    <xf numFmtId="43" fontId="8" fillId="0" borderId="45" xfId="42" applyFont="1" applyBorder="1" applyAlignment="1">
      <alignment horizontal="center"/>
    </xf>
    <xf numFmtId="43" fontId="8" fillId="0" borderId="46" xfId="42" applyFont="1" applyBorder="1" applyAlignment="1">
      <alignment horizontal="center"/>
    </xf>
    <xf numFmtId="43" fontId="7" fillId="0" borderId="41" xfId="42" applyFont="1" applyBorder="1" applyAlignment="1">
      <alignment horizontal="right"/>
    </xf>
    <xf numFmtId="43" fontId="7" fillId="0" borderId="47" xfId="42" applyFont="1" applyBorder="1" applyAlignment="1">
      <alignment/>
    </xf>
    <xf numFmtId="166" fontId="0" fillId="0" borderId="0" xfId="42" applyNumberFormat="1" applyFont="1" applyAlignment="1">
      <alignment/>
    </xf>
    <xf numFmtId="0" fontId="10" fillId="0" borderId="0" xfId="0" applyFont="1" applyAlignment="1">
      <alignment/>
    </xf>
    <xf numFmtId="4" fontId="7" fillId="0" borderId="25" xfId="0" applyNumberFormat="1" applyFont="1" applyBorder="1" applyAlignment="1">
      <alignment horizontal="left"/>
    </xf>
    <xf numFmtId="0" fontId="0" fillId="0" borderId="0" xfId="0" applyAlignment="1" quotePrefix="1">
      <alignment/>
    </xf>
    <xf numFmtId="2" fontId="7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6" fontId="4" fillId="0" borderId="0" xfId="42" applyNumberFormat="1" applyFont="1" applyAlignment="1">
      <alignment/>
    </xf>
    <xf numFmtId="43" fontId="7" fillId="0" borderId="28" xfId="42" applyFont="1" applyBorder="1" applyAlignment="1">
      <alignment/>
    </xf>
    <xf numFmtId="166" fontId="3" fillId="0" borderId="0" xfId="42" applyNumberFormat="1" applyFont="1" applyAlignment="1">
      <alignment/>
    </xf>
    <xf numFmtId="166" fontId="0" fillId="0" borderId="40" xfId="42" applyNumberFormat="1" applyFont="1" applyBorder="1" applyAlignment="1">
      <alignment/>
    </xf>
    <xf numFmtId="166" fontId="0" fillId="0" borderId="4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3" fillId="0" borderId="0" xfId="42" applyNumberFormat="1" applyFont="1" applyAlignment="1">
      <alignment horizontal="center"/>
    </xf>
    <xf numFmtId="173" fontId="0" fillId="0" borderId="40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166" fontId="0" fillId="0" borderId="28" xfId="42" applyNumberFormat="1" applyFont="1" applyBorder="1" applyAlignment="1">
      <alignment/>
    </xf>
    <xf numFmtId="166" fontId="0" fillId="0" borderId="28" xfId="0" applyNumberFormat="1" applyBorder="1" applyAlignment="1">
      <alignment/>
    </xf>
    <xf numFmtId="173" fontId="0" fillId="0" borderId="28" xfId="0" applyNumberFormat="1" applyBorder="1" applyAlignment="1">
      <alignment/>
    </xf>
    <xf numFmtId="0" fontId="0" fillId="0" borderId="48" xfId="0" applyBorder="1" applyAlignment="1">
      <alignment/>
    </xf>
    <xf numFmtId="166" fontId="0" fillId="0" borderId="48" xfId="42" applyNumberFormat="1" applyFont="1" applyBorder="1" applyAlignment="1">
      <alignment/>
    </xf>
    <xf numFmtId="166" fontId="0" fillId="0" borderId="48" xfId="0" applyNumberFormat="1" applyBorder="1" applyAlignment="1">
      <alignment/>
    </xf>
    <xf numFmtId="173" fontId="0" fillId="0" borderId="48" xfId="0" applyNumberFormat="1" applyBorder="1" applyAlignment="1">
      <alignment/>
    </xf>
    <xf numFmtId="166" fontId="4" fillId="0" borderId="0" xfId="42" applyNumberFormat="1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0" xfId="42" applyNumberFormat="1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43" fontId="7" fillId="0" borderId="10" xfId="42" applyFont="1" applyBorder="1" applyAlignment="1">
      <alignment/>
    </xf>
    <xf numFmtId="43" fontId="8" fillId="0" borderId="50" xfId="42" applyFont="1" applyBorder="1" applyAlignment="1">
      <alignment/>
    </xf>
    <xf numFmtId="43" fontId="8" fillId="0" borderId="51" xfId="42" applyFont="1" applyBorder="1" applyAlignment="1">
      <alignment/>
    </xf>
    <xf numFmtId="43" fontId="8" fillId="0" borderId="52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53" xfId="42" applyFont="1" applyBorder="1" applyAlignment="1">
      <alignment horizontal="center"/>
    </xf>
    <xf numFmtId="43" fontId="8" fillId="0" borderId="19" xfId="42" applyFont="1" applyBorder="1" applyAlignment="1">
      <alignment horizontal="center"/>
    </xf>
    <xf numFmtId="43" fontId="7" fillId="0" borderId="54" xfId="42" applyFont="1" applyBorder="1" applyAlignment="1">
      <alignment/>
    </xf>
    <xf numFmtId="43" fontId="7" fillId="0" borderId="23" xfId="42" applyFont="1" applyBorder="1" applyAlignment="1">
      <alignment/>
    </xf>
    <xf numFmtId="43" fontId="7" fillId="0" borderId="55" xfId="42" applyFont="1" applyBorder="1" applyAlignment="1">
      <alignment/>
    </xf>
    <xf numFmtId="43" fontId="7" fillId="0" borderId="26" xfId="42" applyFont="1" applyBorder="1" applyAlignment="1">
      <alignment/>
    </xf>
    <xf numFmtId="43" fontId="7" fillId="0" borderId="55" xfId="42" applyFont="1" applyBorder="1" applyAlignment="1" quotePrefix="1">
      <alignment/>
    </xf>
    <xf numFmtId="43" fontId="7" fillId="0" borderId="26" xfId="42" applyFont="1" applyBorder="1" applyAlignment="1" quotePrefix="1">
      <alignment/>
    </xf>
    <xf numFmtId="43" fontId="7" fillId="0" borderId="0" xfId="42" applyFont="1" applyAlignment="1">
      <alignment/>
    </xf>
    <xf numFmtId="43" fontId="8" fillId="0" borderId="14" xfId="0" applyNumberFormat="1" applyFont="1" applyBorder="1" applyAlignment="1">
      <alignment/>
    </xf>
    <xf numFmtId="173" fontId="4" fillId="0" borderId="0" xfId="42" applyNumberFormat="1" applyFont="1" applyBorder="1" applyAlignment="1">
      <alignment horizontal="right"/>
    </xf>
    <xf numFmtId="4" fontId="8" fillId="0" borderId="51" xfId="0" applyNumberFormat="1" applyFont="1" applyBorder="1" applyAlignment="1">
      <alignment/>
    </xf>
    <xf numFmtId="166" fontId="7" fillId="0" borderId="0" xfId="42" applyNumberFormat="1" applyFont="1" applyAlignment="1">
      <alignment/>
    </xf>
    <xf numFmtId="4" fontId="8" fillId="0" borderId="30" xfId="0" applyNumberFormat="1" applyFont="1" applyBorder="1" applyAlignment="1">
      <alignment/>
    </xf>
    <xf numFmtId="174" fontId="7" fillId="0" borderId="47" xfId="42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3" fontId="7" fillId="0" borderId="27" xfId="42" applyFont="1" applyBorder="1" applyAlignment="1">
      <alignment/>
    </xf>
    <xf numFmtId="43" fontId="7" fillId="0" borderId="33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6" xfId="42" applyFont="1" applyBorder="1" applyAlignment="1">
      <alignment horizontal="center"/>
    </xf>
    <xf numFmtId="43" fontId="8" fillId="0" borderId="20" xfId="42" applyFont="1" applyBorder="1" applyAlignment="1">
      <alignment horizontal="center"/>
    </xf>
    <xf numFmtId="43" fontId="7" fillId="0" borderId="27" xfId="42" applyFont="1" applyBorder="1" applyAlignment="1">
      <alignment horizontal="right"/>
    </xf>
    <xf numFmtId="43" fontId="7" fillId="0" borderId="35" xfId="42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3" fontId="7" fillId="0" borderId="36" xfId="42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73" fontId="0" fillId="0" borderId="0" xfId="42" applyNumberFormat="1" applyFont="1" applyAlignment="1">
      <alignment/>
    </xf>
    <xf numFmtId="4" fontId="8" fillId="0" borderId="30" xfId="0" applyNumberFormat="1" applyFont="1" applyBorder="1" applyAlignment="1">
      <alignment horizontal="right"/>
    </xf>
    <xf numFmtId="43" fontId="7" fillId="0" borderId="32" xfId="42" applyFont="1" applyBorder="1" applyAlignment="1">
      <alignment/>
    </xf>
    <xf numFmtId="43" fontId="8" fillId="0" borderId="34" xfId="42" applyFont="1" applyBorder="1" applyAlignment="1">
      <alignment/>
    </xf>
    <xf numFmtId="43" fontId="7" fillId="0" borderId="26" xfId="42" applyFont="1" applyBorder="1" applyAlignment="1">
      <alignment horizontal="right"/>
    </xf>
    <xf numFmtId="166" fontId="4" fillId="0" borderId="42" xfId="42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16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43" fontId="8" fillId="0" borderId="54" xfId="42" applyFont="1" applyBorder="1" applyAlignment="1">
      <alignment/>
    </xf>
    <xf numFmtId="43" fontId="8" fillId="0" borderId="23" xfId="42" applyFont="1" applyBorder="1" applyAlignment="1">
      <alignment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center"/>
    </xf>
    <xf numFmtId="0" fontId="7" fillId="0" borderId="5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66" fontId="0" fillId="0" borderId="14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0" fontId="0" fillId="0" borderId="60" xfId="0" applyBorder="1" applyAlignment="1">
      <alignment/>
    </xf>
    <xf numFmtId="166" fontId="3" fillId="0" borderId="0" xfId="42" applyNumberFormat="1" applyFont="1" applyBorder="1" applyAlignment="1">
      <alignment horizontal="center"/>
    </xf>
    <xf numFmtId="166" fontId="3" fillId="0" borderId="59" xfId="42" applyNumberFormat="1" applyFont="1" applyBorder="1" applyAlignment="1">
      <alignment horizontal="center"/>
    </xf>
    <xf numFmtId="166" fontId="3" fillId="0" borderId="58" xfId="42" applyNumberFormat="1" applyFont="1" applyBorder="1" applyAlignment="1">
      <alignment horizontal="center"/>
    </xf>
    <xf numFmtId="166" fontId="0" fillId="0" borderId="21" xfId="42" applyNumberFormat="1" applyFont="1" applyBorder="1" applyAlignment="1">
      <alignment/>
    </xf>
    <xf numFmtId="166" fontId="0" fillId="0" borderId="61" xfId="42" applyNumberFormat="1" applyFont="1" applyBorder="1" applyAlignment="1">
      <alignment/>
    </xf>
    <xf numFmtId="166" fontId="0" fillId="0" borderId="62" xfId="42" applyNumberFormat="1" applyFont="1" applyBorder="1" applyAlignment="1">
      <alignment/>
    </xf>
    <xf numFmtId="0" fontId="0" fillId="0" borderId="62" xfId="0" applyBorder="1" applyAlignment="1">
      <alignment/>
    </xf>
    <xf numFmtId="166" fontId="0" fillId="0" borderId="62" xfId="0" applyNumberFormat="1" applyBorder="1" applyAlignment="1">
      <alignment/>
    </xf>
    <xf numFmtId="166" fontId="0" fillId="0" borderId="22" xfId="42" applyNumberFormat="1" applyFont="1" applyBorder="1" applyAlignment="1">
      <alignment/>
    </xf>
    <xf numFmtId="166" fontId="0" fillId="0" borderId="38" xfId="42" applyNumberFormat="1" applyFont="1" applyBorder="1" applyAlignment="1">
      <alignment/>
    </xf>
    <xf numFmtId="166" fontId="0" fillId="0" borderId="56" xfId="42" applyNumberFormat="1" applyFont="1" applyBorder="1" applyAlignment="1">
      <alignment/>
    </xf>
    <xf numFmtId="0" fontId="0" fillId="0" borderId="56" xfId="0" applyBorder="1" applyAlignment="1">
      <alignment/>
    </xf>
    <xf numFmtId="166" fontId="0" fillId="0" borderId="56" xfId="0" applyNumberFormat="1" applyBorder="1" applyAlignment="1">
      <alignment/>
    </xf>
    <xf numFmtId="173" fontId="0" fillId="0" borderId="56" xfId="0" applyNumberFormat="1" applyBorder="1" applyAlignment="1">
      <alignment/>
    </xf>
    <xf numFmtId="166" fontId="10" fillId="0" borderId="22" xfId="42" applyNumberFormat="1" applyFont="1" applyBorder="1" applyAlignment="1">
      <alignment/>
    </xf>
    <xf numFmtId="166" fontId="0" fillId="0" borderId="63" xfId="42" applyNumberFormat="1" applyFont="1" applyBorder="1" applyAlignment="1">
      <alignment/>
    </xf>
    <xf numFmtId="166" fontId="0" fillId="0" borderId="64" xfId="42" applyNumberFormat="1" applyFont="1" applyBorder="1" applyAlignment="1">
      <alignment/>
    </xf>
    <xf numFmtId="166" fontId="0" fillId="0" borderId="65" xfId="42" applyNumberFormat="1" applyFont="1" applyBorder="1" applyAlignment="1">
      <alignment/>
    </xf>
    <xf numFmtId="0" fontId="0" fillId="0" borderId="65" xfId="0" applyBorder="1" applyAlignment="1">
      <alignment/>
    </xf>
    <xf numFmtId="166" fontId="0" fillId="0" borderId="65" xfId="0" applyNumberFormat="1" applyBorder="1" applyAlignment="1">
      <alignment/>
    </xf>
    <xf numFmtId="0" fontId="0" fillId="0" borderId="14" xfId="0" applyBorder="1" applyAlignment="1">
      <alignment/>
    </xf>
    <xf numFmtId="166" fontId="0" fillId="0" borderId="66" xfId="42" applyNumberFormat="1" applyFont="1" applyBorder="1" applyAlignment="1">
      <alignment/>
    </xf>
    <xf numFmtId="166" fontId="0" fillId="0" borderId="67" xfId="42" applyNumberFormat="1" applyFont="1" applyBorder="1" applyAlignment="1">
      <alignment/>
    </xf>
    <xf numFmtId="166" fontId="0" fillId="0" borderId="67" xfId="0" applyNumberFormat="1" applyBorder="1" applyAlignment="1">
      <alignment/>
    </xf>
    <xf numFmtId="173" fontId="0" fillId="0" borderId="65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73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173" fontId="4" fillId="0" borderId="58" xfId="0" applyNumberFormat="1" applyFont="1" applyBorder="1" applyAlignment="1" quotePrefix="1">
      <alignment horizontal="center"/>
    </xf>
    <xf numFmtId="173" fontId="4" fillId="0" borderId="59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3" fontId="0" fillId="0" borderId="58" xfId="0" applyNumberFormat="1" applyFont="1" applyBorder="1" applyAlignment="1">
      <alignment/>
    </xf>
    <xf numFmtId="173" fontId="0" fillId="0" borderId="59" xfId="0" applyNumberFormat="1" applyFont="1" applyBorder="1" applyAlignment="1">
      <alignment/>
    </xf>
    <xf numFmtId="173" fontId="0" fillId="0" borderId="58" xfId="0" applyNumberFormat="1" applyBorder="1" applyAlignment="1">
      <alignment/>
    </xf>
    <xf numFmtId="173" fontId="0" fillId="0" borderId="59" xfId="0" applyNumberFormat="1" applyBorder="1" applyAlignment="1">
      <alignment/>
    </xf>
    <xf numFmtId="173" fontId="0" fillId="0" borderId="60" xfId="0" applyNumberFormat="1" applyBorder="1" applyAlignment="1">
      <alignment/>
    </xf>
    <xf numFmtId="0" fontId="4" fillId="0" borderId="14" xfId="0" applyFont="1" applyBorder="1" applyAlignment="1">
      <alignment horizontal="right"/>
    </xf>
    <xf numFmtId="173" fontId="4" fillId="0" borderId="68" xfId="0" applyNumberFormat="1" applyFont="1" applyBorder="1" applyAlignment="1">
      <alignment/>
    </xf>
    <xf numFmtId="173" fontId="4" fillId="0" borderId="67" xfId="0" applyNumberFormat="1" applyFont="1" applyBorder="1" applyAlignment="1">
      <alignment/>
    </xf>
    <xf numFmtId="173" fontId="4" fillId="0" borderId="69" xfId="0" applyNumberFormat="1" applyFont="1" applyBorder="1" applyAlignment="1">
      <alignment/>
    </xf>
    <xf numFmtId="173" fontId="4" fillId="0" borderId="58" xfId="0" applyNumberFormat="1" applyFont="1" applyBorder="1" applyAlignment="1">
      <alignment horizontal="center"/>
    </xf>
    <xf numFmtId="166" fontId="5" fillId="0" borderId="0" xfId="42" applyNumberFormat="1" applyFont="1" applyAlignment="1">
      <alignment/>
    </xf>
    <xf numFmtId="173" fontId="5" fillId="0" borderId="0" xfId="42" applyNumberFormat="1" applyFont="1" applyAlignment="1">
      <alignment/>
    </xf>
    <xf numFmtId="166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166" fontId="0" fillId="0" borderId="58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73" fontId="0" fillId="0" borderId="70" xfId="42" applyNumberFormat="1" applyFont="1" applyBorder="1" applyAlignment="1">
      <alignment horizontal="center"/>
    </xf>
    <xf numFmtId="173" fontId="0" fillId="0" borderId="70" xfId="42" applyNumberFormat="1" applyFont="1" applyBorder="1" applyAlignment="1" quotePrefix="1">
      <alignment horizontal="center"/>
    </xf>
    <xf numFmtId="166" fontId="0" fillId="0" borderId="58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73" fontId="0" fillId="0" borderId="70" xfId="42" applyNumberFormat="1" applyFont="1" applyBorder="1" applyAlignment="1">
      <alignment/>
    </xf>
    <xf numFmtId="3" fontId="0" fillId="0" borderId="14" xfId="0" applyNumberFormat="1" applyBorder="1" applyAlignment="1">
      <alignment/>
    </xf>
    <xf numFmtId="166" fontId="0" fillId="0" borderId="42" xfId="42" applyNumberFormat="1" applyFont="1" applyBorder="1" applyAlignment="1">
      <alignment horizontal="right"/>
    </xf>
    <xf numFmtId="166" fontId="0" fillId="0" borderId="42" xfId="42" applyNumberFormat="1" applyFont="1" applyBorder="1" applyAlignment="1">
      <alignment horizontal="right"/>
    </xf>
    <xf numFmtId="173" fontId="0" fillId="0" borderId="71" xfId="42" applyNumberFormat="1" applyFont="1" applyBorder="1" applyAlignment="1">
      <alignment/>
    </xf>
    <xf numFmtId="166" fontId="4" fillId="0" borderId="58" xfId="42" applyNumberFormat="1" applyFont="1" applyBorder="1" applyAlignment="1">
      <alignment/>
    </xf>
    <xf numFmtId="173" fontId="4" fillId="0" borderId="70" xfId="42" applyNumberFormat="1" applyFont="1" applyBorder="1" applyAlignment="1">
      <alignment/>
    </xf>
    <xf numFmtId="166" fontId="0" fillId="0" borderId="42" xfId="42" applyNumberFormat="1" applyFont="1" applyBorder="1" applyAlignment="1">
      <alignment/>
    </xf>
    <xf numFmtId="166" fontId="0" fillId="0" borderId="42" xfId="42" applyNumberFormat="1" applyFont="1" applyBorder="1" applyAlignment="1">
      <alignment/>
    </xf>
    <xf numFmtId="0" fontId="0" fillId="0" borderId="18" xfId="0" applyBorder="1" applyAlignment="1">
      <alignment/>
    </xf>
    <xf numFmtId="166" fontId="0" fillId="0" borderId="72" xfId="42" applyNumberFormat="1" applyFont="1" applyBorder="1" applyAlignment="1">
      <alignment/>
    </xf>
    <xf numFmtId="3" fontId="0" fillId="0" borderId="51" xfId="0" applyNumberFormat="1" applyBorder="1" applyAlignment="1">
      <alignment/>
    </xf>
    <xf numFmtId="173" fontId="3" fillId="0" borderId="58" xfId="0" applyNumberFormat="1" applyFont="1" applyBorder="1" applyAlignment="1">
      <alignment horizontal="center"/>
    </xf>
    <xf numFmtId="173" fontId="3" fillId="0" borderId="59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4" fillId="0" borderId="58" xfId="0" applyFont="1" applyBorder="1" applyAlignment="1">
      <alignment/>
    </xf>
    <xf numFmtId="173" fontId="0" fillId="0" borderId="58" xfId="0" applyNumberFormat="1" applyBorder="1" applyAlignment="1">
      <alignment horizontal="right"/>
    </xf>
    <xf numFmtId="166" fontId="8" fillId="0" borderId="34" xfId="42" applyNumberFormat="1" applyFont="1" applyBorder="1" applyAlignment="1">
      <alignment horizontal="center"/>
    </xf>
    <xf numFmtId="166" fontId="8" fillId="0" borderId="73" xfId="42" applyNumberFormat="1" applyFont="1" applyBorder="1" applyAlignment="1">
      <alignment horizontal="center"/>
    </xf>
    <xf numFmtId="16" fontId="7" fillId="0" borderId="63" xfId="0" applyNumberFormat="1" applyFont="1" applyBorder="1" applyAlignment="1">
      <alignment/>
    </xf>
    <xf numFmtId="4" fontId="7" fillId="0" borderId="74" xfId="0" applyNumberFormat="1" applyFont="1" applyBorder="1" applyAlignment="1">
      <alignment/>
    </xf>
    <xf numFmtId="43" fontId="7" fillId="0" borderId="74" xfId="42" applyFont="1" applyBorder="1" applyAlignment="1">
      <alignment/>
    </xf>
    <xf numFmtId="43" fontId="7" fillId="0" borderId="29" xfId="42" applyFont="1" applyBorder="1" applyAlignment="1">
      <alignment/>
    </xf>
    <xf numFmtId="166" fontId="4" fillId="0" borderId="58" xfId="42" applyNumberFormat="1" applyFont="1" applyBorder="1" applyAlignment="1">
      <alignment horizontal="center"/>
    </xf>
    <xf numFmtId="166" fontId="4" fillId="0" borderId="72" xfId="42" applyNumberFormat="1" applyFont="1" applyBorder="1" applyAlignment="1">
      <alignment/>
    </xf>
    <xf numFmtId="173" fontId="4" fillId="0" borderId="75" xfId="42" applyNumberFormat="1" applyFont="1" applyBorder="1" applyAlignment="1">
      <alignment horizontal="right"/>
    </xf>
    <xf numFmtId="166" fontId="0" fillId="0" borderId="58" xfId="42" applyNumberFormat="1" applyFont="1" applyBorder="1" applyAlignment="1">
      <alignment/>
    </xf>
    <xf numFmtId="166" fontId="4" fillId="0" borderId="60" xfId="42" applyNumberFormat="1" applyFont="1" applyBorder="1" applyAlignment="1">
      <alignment/>
    </xf>
    <xf numFmtId="173" fontId="4" fillId="0" borderId="69" xfId="42" applyNumberFormat="1" applyFont="1" applyBorder="1" applyAlignment="1">
      <alignment horizontal="right"/>
    </xf>
    <xf numFmtId="173" fontId="4" fillId="0" borderId="58" xfId="42" applyNumberFormat="1" applyFont="1" applyBorder="1" applyAlignment="1">
      <alignment/>
    </xf>
    <xf numFmtId="173" fontId="4" fillId="0" borderId="60" xfId="42" applyNumberFormat="1" applyFont="1" applyBorder="1" applyAlignment="1">
      <alignment/>
    </xf>
    <xf numFmtId="166" fontId="4" fillId="0" borderId="30" xfId="42" applyNumberFormat="1" applyFont="1" applyBorder="1" applyAlignment="1">
      <alignment horizontal="right"/>
    </xf>
    <xf numFmtId="173" fontId="4" fillId="0" borderId="30" xfId="42" applyNumberFormat="1" applyFont="1" applyBorder="1" applyAlignment="1">
      <alignment horizontal="right"/>
    </xf>
    <xf numFmtId="173" fontId="4" fillId="0" borderId="14" xfId="42" applyNumberFormat="1" applyFont="1" applyBorder="1" applyAlignment="1">
      <alignment horizontal="right"/>
    </xf>
    <xf numFmtId="173" fontId="4" fillId="0" borderId="18" xfId="42" applyNumberFormat="1" applyFont="1" applyBorder="1" applyAlignment="1">
      <alignment/>
    </xf>
    <xf numFmtId="173" fontId="4" fillId="0" borderId="18" xfId="42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 quotePrefix="1">
      <alignment wrapText="1"/>
    </xf>
    <xf numFmtId="0" fontId="4" fillId="0" borderId="18" xfId="0" applyFont="1" applyBorder="1" applyAlignment="1">
      <alignment horizontal="left" wrapText="1"/>
    </xf>
    <xf numFmtId="16" fontId="7" fillId="0" borderId="21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32" borderId="25" xfId="0" applyFont="1" applyFill="1" applyBorder="1" applyAlignment="1">
      <alignment/>
    </xf>
    <xf numFmtId="0" fontId="7" fillId="0" borderId="25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0" fontId="8" fillId="0" borderId="42" xfId="0" applyFont="1" applyBorder="1" applyAlignment="1">
      <alignment horizontal="center"/>
    </xf>
    <xf numFmtId="166" fontId="0" fillId="0" borderId="10" xfId="42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166" fontId="0" fillId="0" borderId="60" xfId="42" applyNumberFormat="1" applyFont="1" applyBorder="1" applyAlignment="1">
      <alignment/>
    </xf>
    <xf numFmtId="173" fontId="0" fillId="0" borderId="76" xfId="42" applyNumberFormat="1" applyFont="1" applyBorder="1" applyAlignment="1">
      <alignment/>
    </xf>
    <xf numFmtId="166" fontId="0" fillId="0" borderId="30" xfId="42" applyNumberFormat="1" applyFont="1" applyBorder="1" applyAlignment="1">
      <alignment/>
    </xf>
    <xf numFmtId="173" fontId="0" fillId="0" borderId="70" xfId="42" applyNumberFormat="1" applyFont="1" applyBorder="1" applyAlignment="1">
      <alignment/>
    </xf>
    <xf numFmtId="166" fontId="0" fillId="0" borderId="0" xfId="44" applyNumberFormat="1" applyFont="1" applyAlignment="1">
      <alignment/>
    </xf>
    <xf numFmtId="166" fontId="0" fillId="0" borderId="40" xfId="44" applyNumberFormat="1" applyFont="1" applyBorder="1" applyAlignment="1">
      <alignment/>
    </xf>
    <xf numFmtId="166" fontId="4" fillId="0" borderId="14" xfId="42" applyNumberFormat="1" applyFont="1" applyBorder="1" applyAlignment="1">
      <alignment horizontal="center"/>
    </xf>
    <xf numFmtId="166" fontId="4" fillId="0" borderId="3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9" fillId="0" borderId="0" xfId="0" applyFont="1" applyAlignment="1" quotePrefix="1">
      <alignment/>
    </xf>
    <xf numFmtId="0" fontId="7" fillId="33" borderId="0" xfId="0" applyFont="1" applyFill="1" applyAlignment="1">
      <alignment/>
    </xf>
    <xf numFmtId="16" fontId="7" fillId="0" borderId="37" xfId="0" applyNumberFormat="1" applyFont="1" applyBorder="1" applyAlignment="1">
      <alignment/>
    </xf>
    <xf numFmtId="43" fontId="7" fillId="0" borderId="37" xfId="42" applyFont="1" applyBorder="1" applyAlignment="1">
      <alignment/>
    </xf>
    <xf numFmtId="4" fontId="7" fillId="0" borderId="37" xfId="0" applyNumberFormat="1" applyFont="1" applyBorder="1" applyAlignment="1">
      <alignment/>
    </xf>
    <xf numFmtId="0" fontId="7" fillId="32" borderId="77" xfId="0" applyFont="1" applyFill="1" applyBorder="1" applyAlignment="1">
      <alignment/>
    </xf>
    <xf numFmtId="4" fontId="8" fillId="0" borderId="37" xfId="0" applyNumberFormat="1" applyFont="1" applyBorder="1" applyAlignment="1">
      <alignment horizontal="right"/>
    </xf>
    <xf numFmtId="16" fontId="8" fillId="0" borderId="78" xfId="0" applyNumberFormat="1" applyFont="1" applyBorder="1" applyAlignment="1">
      <alignment/>
    </xf>
    <xf numFmtId="0" fontId="8" fillId="0" borderId="78" xfId="0" applyFont="1" applyBorder="1" applyAlignment="1">
      <alignment/>
    </xf>
    <xf numFmtId="43" fontId="8" fillId="0" borderId="78" xfId="42" applyFont="1" applyBorder="1" applyAlignment="1">
      <alignment/>
    </xf>
    <xf numFmtId="4" fontId="8" fillId="0" borderId="78" xfId="0" applyNumberFormat="1" applyFont="1" applyBorder="1" applyAlignment="1">
      <alignment/>
    </xf>
    <xf numFmtId="0" fontId="8" fillId="0" borderId="79" xfId="0" applyFont="1" applyBorder="1" applyAlignment="1">
      <alignment/>
    </xf>
    <xf numFmtId="4" fontId="7" fillId="0" borderId="24" xfId="0" applyNumberFormat="1" applyFont="1" applyBorder="1" applyAlignment="1">
      <alignment/>
    </xf>
    <xf numFmtId="43" fontId="7" fillId="0" borderId="24" xfId="42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43" fontId="7" fillId="0" borderId="39" xfId="42" applyFont="1" applyBorder="1" applyAlignment="1">
      <alignment/>
    </xf>
    <xf numFmtId="0" fontId="7" fillId="0" borderId="39" xfId="0" applyFont="1" applyBorder="1" applyAlignment="1">
      <alignment/>
    </xf>
    <xf numFmtId="43" fontId="7" fillId="0" borderId="80" xfId="42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78" xfId="0" applyFont="1" applyBorder="1" applyAlignment="1">
      <alignment/>
    </xf>
    <xf numFmtId="43" fontId="7" fillId="0" borderId="78" xfId="42" applyFont="1" applyBorder="1" applyAlignment="1">
      <alignment/>
    </xf>
    <xf numFmtId="43" fontId="7" fillId="0" borderId="81" xfId="42" applyFont="1" applyBorder="1" applyAlignment="1">
      <alignment/>
    </xf>
    <xf numFmtId="0" fontId="7" fillId="0" borderId="81" xfId="0" applyFont="1" applyBorder="1" applyAlignment="1">
      <alignment/>
    </xf>
    <xf numFmtId="4" fontId="7" fillId="0" borderId="78" xfId="0" applyNumberFormat="1" applyFont="1" applyBorder="1" applyAlignment="1">
      <alignment/>
    </xf>
    <xf numFmtId="16" fontId="7" fillId="0" borderId="28" xfId="0" applyNumberFormat="1" applyFont="1" applyBorder="1" applyAlignment="1">
      <alignment/>
    </xf>
    <xf numFmtId="0" fontId="7" fillId="0" borderId="28" xfId="0" applyFont="1" applyFill="1" applyBorder="1" applyAlignment="1">
      <alignment horizontal="center"/>
    </xf>
    <xf numFmtId="4" fontId="7" fillId="0" borderId="28" xfId="0" applyNumberFormat="1" applyFont="1" applyBorder="1" applyAlignment="1">
      <alignment/>
    </xf>
    <xf numFmtId="174" fontId="7" fillId="0" borderId="82" xfId="42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4" fontId="8" fillId="0" borderId="30" xfId="0" applyNumberFormat="1" applyFont="1" applyBorder="1" applyAlignment="1">
      <alignment/>
    </xf>
    <xf numFmtId="174" fontId="8" fillId="0" borderId="40" xfId="0" applyNumberFormat="1" applyFont="1" applyBorder="1" applyAlignment="1">
      <alignment/>
    </xf>
    <xf numFmtId="174" fontId="7" fillId="0" borderId="0" xfId="42" applyNumberFormat="1" applyFont="1" applyAlignment="1">
      <alignment/>
    </xf>
    <xf numFmtId="174" fontId="7" fillId="0" borderId="0" xfId="42" applyNumberFormat="1" applyFont="1" applyAlignment="1">
      <alignment horizontal="center"/>
    </xf>
    <xf numFmtId="174" fontId="7" fillId="0" borderId="35" xfId="42" applyNumberFormat="1" applyFont="1" applyBorder="1" applyAlignment="1">
      <alignment/>
    </xf>
    <xf numFmtId="174" fontId="7" fillId="0" borderId="36" xfId="42" applyNumberFormat="1" applyFon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43" fontId="7" fillId="0" borderId="82" xfId="42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173" fontId="12" fillId="0" borderId="75" xfId="0" applyNumberFormat="1" applyFont="1" applyBorder="1" applyAlignment="1">
      <alignment/>
    </xf>
    <xf numFmtId="173" fontId="12" fillId="0" borderId="30" xfId="0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30" xfId="0" applyFont="1" applyBorder="1" applyAlignment="1">
      <alignment/>
    </xf>
    <xf numFmtId="166" fontId="4" fillId="0" borderId="30" xfId="42" applyNumberFormat="1" applyFont="1" applyBorder="1" applyAlignment="1">
      <alignment horizontal="center" wrapText="1"/>
    </xf>
    <xf numFmtId="0" fontId="4" fillId="0" borderId="83" xfId="0" applyFont="1" applyBorder="1" applyAlignment="1">
      <alignment/>
    </xf>
    <xf numFmtId="0" fontId="4" fillId="0" borderId="83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73" fontId="4" fillId="0" borderId="62" xfId="0" applyNumberFormat="1" applyFont="1" applyBorder="1" applyAlignment="1">
      <alignment/>
    </xf>
    <xf numFmtId="166" fontId="4" fillId="0" borderId="22" xfId="42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73" fontId="4" fillId="0" borderId="5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84" xfId="0" applyFont="1" applyBorder="1" applyAlignment="1">
      <alignment/>
    </xf>
    <xf numFmtId="166" fontId="4" fillId="0" borderId="84" xfId="42" applyNumberFormat="1" applyFont="1" applyBorder="1" applyAlignment="1">
      <alignment/>
    </xf>
    <xf numFmtId="166" fontId="4" fillId="0" borderId="84" xfId="0" applyNumberFormat="1" applyFont="1" applyBorder="1" applyAlignment="1">
      <alignment/>
    </xf>
    <xf numFmtId="173" fontId="4" fillId="0" borderId="85" xfId="0" applyNumberFormat="1" applyFont="1" applyBorder="1" applyAlignment="1">
      <alignment/>
    </xf>
    <xf numFmtId="166" fontId="0" fillId="0" borderId="0" xfId="42" applyNumberFormat="1" applyFont="1" applyAlignment="1">
      <alignment horizontal="right"/>
    </xf>
    <xf numFmtId="173" fontId="0" fillId="0" borderId="0" xfId="42" applyNumberFormat="1" applyFont="1" applyAlignment="1">
      <alignment horizontal="right"/>
    </xf>
    <xf numFmtId="173" fontId="0" fillId="0" borderId="0" xfId="42" applyNumberFormat="1" applyFont="1" applyAlignment="1">
      <alignment/>
    </xf>
    <xf numFmtId="173" fontId="0" fillId="0" borderId="59" xfId="42" applyNumberFormat="1" applyFont="1" applyBorder="1" applyAlignment="1">
      <alignment/>
    </xf>
    <xf numFmtId="166" fontId="4" fillId="0" borderId="18" xfId="42" applyNumberFormat="1" applyFont="1" applyBorder="1" applyAlignment="1">
      <alignment horizontal="center"/>
    </xf>
    <xf numFmtId="173" fontId="0" fillId="0" borderId="14" xfId="42" applyNumberFormat="1" applyFont="1" applyBorder="1" applyAlignment="1">
      <alignment horizontal="right"/>
    </xf>
    <xf numFmtId="166" fontId="4" fillId="0" borderId="14" xfId="42" applyNumberFormat="1" applyFont="1" applyBorder="1" applyAlignment="1" quotePrefix="1">
      <alignment horizontal="right"/>
    </xf>
    <xf numFmtId="166" fontId="0" fillId="0" borderId="18" xfId="42" applyNumberFormat="1" applyFont="1" applyBorder="1" applyAlignment="1">
      <alignment/>
    </xf>
    <xf numFmtId="173" fontId="0" fillId="0" borderId="69" xfId="42" applyNumberFormat="1" applyFont="1" applyBorder="1" applyAlignment="1">
      <alignment/>
    </xf>
    <xf numFmtId="173" fontId="0" fillId="0" borderId="58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60" xfId="42" applyNumberFormat="1" applyFont="1" applyBorder="1" applyAlignment="1">
      <alignment/>
    </xf>
    <xf numFmtId="173" fontId="0" fillId="0" borderId="18" xfId="42" applyNumberFormat="1" applyFont="1" applyBorder="1" applyAlignment="1">
      <alignment horizontal="right"/>
    </xf>
    <xf numFmtId="173" fontId="0" fillId="0" borderId="18" xfId="42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42" applyNumberFormat="1" applyFont="1" applyBorder="1" applyAlignment="1">
      <alignment/>
    </xf>
    <xf numFmtId="14" fontId="0" fillId="0" borderId="14" xfId="0" applyNumberFormat="1" applyFont="1" applyBorder="1" applyAlignment="1">
      <alignment wrapText="1"/>
    </xf>
    <xf numFmtId="173" fontId="4" fillId="0" borderId="1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174" fontId="0" fillId="0" borderId="0" xfId="42" applyNumberFormat="1" applyFont="1" applyAlignment="1">
      <alignment horizontal="right"/>
    </xf>
    <xf numFmtId="173" fontId="0" fillId="0" borderId="42" xfId="42" applyNumberFormat="1" applyFont="1" applyBorder="1" applyAlignment="1">
      <alignment horizontal="right"/>
    </xf>
    <xf numFmtId="166" fontId="0" fillId="0" borderId="0" xfId="42" applyNumberFormat="1" applyFont="1" applyAlignment="1">
      <alignment horizontal="left" wrapText="1"/>
    </xf>
    <xf numFmtId="166" fontId="4" fillId="0" borderId="11" xfId="42" applyNumberFormat="1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43" fontId="7" fillId="0" borderId="27" xfId="42" applyNumberFormat="1" applyFont="1" applyBorder="1" applyAlignment="1">
      <alignment/>
    </xf>
    <xf numFmtId="43" fontId="7" fillId="0" borderId="26" xfId="42" applyNumberFormat="1" applyFont="1" applyBorder="1" applyAlignment="1">
      <alignment/>
    </xf>
    <xf numFmtId="43" fontId="7" fillId="0" borderId="41" xfId="42" applyNumberFormat="1" applyFont="1" applyBorder="1" applyAlignment="1">
      <alignment/>
    </xf>
    <xf numFmtId="43" fontId="7" fillId="0" borderId="27" xfId="42" applyNumberFormat="1" applyFont="1" applyBorder="1" applyAlignment="1">
      <alignment horizontal="right"/>
    </xf>
    <xf numFmtId="43" fontId="7" fillId="0" borderId="26" xfId="42" applyNumberFormat="1" applyFont="1" applyBorder="1" applyAlignment="1">
      <alignment horizontal="right"/>
    </xf>
    <xf numFmtId="43" fontId="7" fillId="0" borderId="41" xfId="42" applyNumberFormat="1" applyFont="1" applyBorder="1" applyAlignment="1">
      <alignment horizontal="right"/>
    </xf>
    <xf numFmtId="43" fontId="7" fillId="0" borderId="29" xfId="42" applyNumberFormat="1" applyFont="1" applyBorder="1" applyAlignment="1">
      <alignment/>
    </xf>
    <xf numFmtId="43" fontId="7" fillId="0" borderId="74" xfId="42" applyNumberFormat="1" applyFont="1" applyBorder="1" applyAlignment="1">
      <alignment/>
    </xf>
    <xf numFmtId="43" fontId="7" fillId="0" borderId="86" xfId="42" applyNumberFormat="1" applyFont="1" applyBorder="1" applyAlignment="1">
      <alignment/>
    </xf>
    <xf numFmtId="43" fontId="7" fillId="0" borderId="24" xfId="42" applyNumberFormat="1" applyFont="1" applyBorder="1" applyAlignment="1">
      <alignment/>
    </xf>
    <xf numFmtId="43" fontId="7" fillId="0" borderId="23" xfId="42" applyNumberFormat="1" applyFont="1" applyBorder="1" applyAlignment="1">
      <alignment/>
    </xf>
    <xf numFmtId="43" fontId="7" fillId="0" borderId="87" xfId="42" applyNumberFormat="1" applyFont="1" applyBorder="1" applyAlignment="1">
      <alignment/>
    </xf>
    <xf numFmtId="2" fontId="7" fillId="0" borderId="0" xfId="0" applyNumberFormat="1" applyFont="1" applyAlignment="1">
      <alignment/>
    </xf>
    <xf numFmtId="166" fontId="4" fillId="0" borderId="11" xfId="42" applyNumberFormat="1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14" xfId="0" applyFont="1" applyBorder="1" applyAlignment="1" quotePrefix="1">
      <alignment horizontal="center"/>
    </xf>
    <xf numFmtId="173" fontId="4" fillId="0" borderId="14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4" fillId="0" borderId="0" xfId="0" applyNumberFormat="1" applyFont="1" applyAlignment="1" quotePrefix="1">
      <alignment horizontal="center"/>
    </xf>
    <xf numFmtId="173" fontId="4" fillId="0" borderId="0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0" fillId="0" borderId="58" xfId="0" applyFont="1" applyBorder="1" applyAlignment="1">
      <alignment horizontal="left" wrapText="1"/>
    </xf>
    <xf numFmtId="173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4" fillId="0" borderId="72" xfId="0" applyFont="1" applyBorder="1" applyAlignment="1">
      <alignment/>
    </xf>
    <xf numFmtId="173" fontId="4" fillId="0" borderId="30" xfId="0" applyNumberFormat="1" applyFont="1" applyBorder="1" applyAlignment="1">
      <alignment horizontal="center"/>
    </xf>
    <xf numFmtId="173" fontId="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60" xfId="0" applyFont="1" applyBorder="1" applyAlignment="1">
      <alignment/>
    </xf>
    <xf numFmtId="173" fontId="0" fillId="0" borderId="11" xfId="0" applyNumberFormat="1" applyBorder="1" applyAlignment="1">
      <alignment/>
    </xf>
    <xf numFmtId="173" fontId="4" fillId="0" borderId="14" xfId="0" applyNumberFormat="1" applyFont="1" applyBorder="1" applyAlignment="1" quotePrefix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4" xfId="0" applyNumberFormat="1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0" xfId="0" applyFont="1" applyBorder="1" applyAlignment="1">
      <alignment wrapText="1"/>
    </xf>
    <xf numFmtId="176" fontId="0" fillId="0" borderId="18" xfId="0" applyNumberFormat="1" applyBorder="1" applyAlignment="1">
      <alignment horizontal="center"/>
    </xf>
    <xf numFmtId="15" fontId="0" fillId="0" borderId="18" xfId="0" applyNumberFormat="1" applyFont="1" applyBorder="1" applyAlignment="1" quotePrefix="1">
      <alignment horizontal="center"/>
    </xf>
    <xf numFmtId="0" fontId="0" fillId="0" borderId="60" xfId="0" applyFont="1" applyBorder="1" applyAlignment="1">
      <alignment/>
    </xf>
    <xf numFmtId="0" fontId="0" fillId="0" borderId="18" xfId="0" applyFont="1" applyBorder="1" applyAlignment="1" quotePrefix="1">
      <alignment horizontal="center"/>
    </xf>
    <xf numFmtId="0" fontId="0" fillId="0" borderId="0" xfId="44" applyNumberFormat="1" applyFont="1" applyAlignment="1">
      <alignment/>
    </xf>
    <xf numFmtId="0" fontId="10" fillId="0" borderId="0" xfId="44" applyNumberFormat="1" applyFont="1" applyAlignment="1">
      <alignment/>
    </xf>
    <xf numFmtId="4" fontId="0" fillId="0" borderId="0" xfId="44" applyNumberFormat="1" applyFont="1" applyAlignment="1">
      <alignment/>
    </xf>
    <xf numFmtId="43" fontId="0" fillId="0" borderId="0" xfId="44" applyFont="1" applyAlignment="1">
      <alignment/>
    </xf>
    <xf numFmtId="174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4" fontId="0" fillId="0" borderId="10" xfId="0" applyNumberFormat="1" applyBorder="1" applyAlignment="1">
      <alignment/>
    </xf>
    <xf numFmtId="43" fontId="3" fillId="0" borderId="0" xfId="44" applyFont="1" applyAlignment="1">
      <alignment/>
    </xf>
    <xf numFmtId="43" fontId="3" fillId="0" borderId="0" xfId="44" applyFont="1" applyAlignment="1">
      <alignment horizontal="center"/>
    </xf>
    <xf numFmtId="43" fontId="0" fillId="0" borderId="40" xfId="44" applyFont="1" applyBorder="1" applyAlignment="1">
      <alignment/>
    </xf>
    <xf numFmtId="174" fontId="0" fillId="0" borderId="40" xfId="0" applyNumberFormat="1" applyBorder="1" applyAlignment="1">
      <alignment/>
    </xf>
    <xf numFmtId="43" fontId="0" fillId="0" borderId="10" xfId="44" applyFont="1" applyBorder="1" applyAlignment="1">
      <alignment/>
    </xf>
    <xf numFmtId="43" fontId="0" fillId="0" borderId="0" xfId="44" applyFont="1" applyBorder="1" applyAlignment="1">
      <alignment/>
    </xf>
    <xf numFmtId="179" fontId="0" fillId="0" borderId="0" xfId="44" applyNumberFormat="1" applyFont="1" applyAlignment="1">
      <alignment/>
    </xf>
    <xf numFmtId="166" fontId="0" fillId="0" borderId="22" xfId="42" applyNumberFormat="1" applyFont="1" applyBorder="1" applyAlignment="1">
      <alignment/>
    </xf>
    <xf numFmtId="0" fontId="13" fillId="0" borderId="0" xfId="0" applyFont="1" applyBorder="1" applyAlignment="1">
      <alignment/>
    </xf>
    <xf numFmtId="16" fontId="13" fillId="0" borderId="0" xfId="0" applyNumberFormat="1" applyFont="1" applyBorder="1" applyAlignment="1">
      <alignment/>
    </xf>
    <xf numFmtId="43" fontId="13" fillId="0" borderId="0" xfId="44" applyFont="1" applyBorder="1" applyAlignment="1">
      <alignment/>
    </xf>
    <xf numFmtId="4" fontId="4" fillId="0" borderId="57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88" xfId="0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59" xfId="0" applyFont="1" applyBorder="1" applyAlignment="1">
      <alignment horizontal="left"/>
    </xf>
    <xf numFmtId="43" fontId="13" fillId="0" borderId="72" xfId="42" applyFont="1" applyBorder="1" applyAlignment="1">
      <alignment/>
    </xf>
    <xf numFmtId="0" fontId="0" fillId="0" borderId="60" xfId="44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51" xfId="44" applyNumberFormat="1" applyFont="1" applyBorder="1" applyAlignment="1">
      <alignment/>
    </xf>
    <xf numFmtId="43" fontId="13" fillId="0" borderId="58" xfId="42" applyFont="1" applyFill="1" applyBorder="1" applyAlignment="1">
      <alignment horizontal="right"/>
    </xf>
    <xf numFmtId="43" fontId="13" fillId="0" borderId="58" xfId="42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173" fontId="0" fillId="0" borderId="30" xfId="0" applyNumberFormat="1" applyBorder="1" applyAlignment="1">
      <alignment/>
    </xf>
    <xf numFmtId="43" fontId="8" fillId="0" borderId="22" xfId="42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14" fillId="0" borderId="22" xfId="0" applyFont="1" applyBorder="1" applyAlignment="1">
      <alignment horizontal="center" wrapText="1"/>
    </xf>
    <xf numFmtId="0" fontId="7" fillId="0" borderId="48" xfId="0" applyFont="1" applyBorder="1" applyAlignment="1">
      <alignment horizontal="right"/>
    </xf>
    <xf numFmtId="4" fontId="8" fillId="34" borderId="21" xfId="0" applyNumberFormat="1" applyFont="1" applyFill="1" applyBorder="1" applyAlignment="1">
      <alignment horizontal="right"/>
    </xf>
    <xf numFmtId="174" fontId="8" fillId="34" borderId="22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" fontId="7" fillId="35" borderId="27" xfId="0" applyNumberFormat="1" applyFont="1" applyFill="1" applyBorder="1" applyAlignment="1">
      <alignment/>
    </xf>
    <xf numFmtId="43" fontId="7" fillId="35" borderId="27" xfId="42" applyNumberFormat="1" applyFont="1" applyFill="1" applyBorder="1" applyAlignment="1">
      <alignment/>
    </xf>
    <xf numFmtId="2" fontId="7" fillId="0" borderId="27" xfId="0" applyNumberFormat="1" applyFont="1" applyBorder="1" applyAlignment="1">
      <alignment horizontal="right"/>
    </xf>
    <xf numFmtId="43" fontId="8" fillId="34" borderId="22" xfId="42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72" xfId="0" applyNumberFormat="1" applyFont="1" applyBorder="1" applyAlignment="1">
      <alignment/>
    </xf>
    <xf numFmtId="173" fontId="16" fillId="0" borderId="0" xfId="0" applyNumberFormat="1" applyFont="1" applyAlignment="1">
      <alignment/>
    </xf>
    <xf numFmtId="173" fontId="13" fillId="0" borderId="72" xfId="0" applyNumberFormat="1" applyFont="1" applyBorder="1" applyAlignment="1">
      <alignment/>
    </xf>
    <xf numFmtId="173" fontId="13" fillId="0" borderId="42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3" fontId="4" fillId="0" borderId="8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3" fontId="13" fillId="0" borderId="0" xfId="0" applyNumberFormat="1" applyFont="1" applyAlignment="1">
      <alignment horizontal="center"/>
    </xf>
    <xf numFmtId="16" fontId="7" fillId="0" borderId="78" xfId="0" applyNumberFormat="1" applyFont="1" applyBorder="1" applyAlignment="1">
      <alignment/>
    </xf>
    <xf numFmtId="0" fontId="11" fillId="0" borderId="0" xfId="0" applyFont="1" applyAlignment="1">
      <alignment/>
    </xf>
    <xf numFmtId="173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166" fontId="4" fillId="0" borderId="88" xfId="42" applyNumberFormat="1" applyFont="1" applyBorder="1" applyAlignment="1">
      <alignment horizontal="center"/>
    </xf>
    <xf numFmtId="166" fontId="4" fillId="0" borderId="59" xfId="42" applyNumberFormat="1" applyFont="1" applyBorder="1" applyAlignment="1">
      <alignment horizontal="center"/>
    </xf>
    <xf numFmtId="166" fontId="4" fillId="0" borderId="69" xfId="42" applyNumberFormat="1" applyFont="1" applyBorder="1" applyAlignment="1">
      <alignment horizontal="center"/>
    </xf>
    <xf numFmtId="4" fontId="8" fillId="34" borderId="37" xfId="0" applyNumberFormat="1" applyFont="1" applyFill="1" applyBorder="1" applyAlignment="1">
      <alignment horizontal="right"/>
    </xf>
    <xf numFmtId="43" fontId="8" fillId="34" borderId="63" xfId="42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4" fontId="8" fillId="34" borderId="22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0" fontId="7" fillId="34" borderId="0" xfId="0" applyFont="1" applyFill="1" applyAlignment="1">
      <alignment/>
    </xf>
    <xf numFmtId="4" fontId="0" fillId="0" borderId="0" xfId="0" applyNumberFormat="1" applyBorder="1" applyAlignment="1">
      <alignment/>
    </xf>
    <xf numFmtId="4" fontId="13" fillId="0" borderId="58" xfId="0" applyNumberFormat="1" applyFont="1" applyFill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56" xfId="0" applyFont="1" applyBorder="1" applyAlignment="1">
      <alignment horizontal="center"/>
    </xf>
    <xf numFmtId="16" fontId="13" fillId="0" borderId="22" xfId="0" applyNumberFormat="1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62" xfId="0" applyFont="1" applyBorder="1" applyAlignment="1">
      <alignment horizontal="center"/>
    </xf>
    <xf numFmtId="43" fontId="13" fillId="34" borderId="58" xfId="42" applyFont="1" applyFill="1" applyBorder="1" applyAlignment="1">
      <alignment/>
    </xf>
    <xf numFmtId="0" fontId="0" fillId="36" borderId="0" xfId="0" applyFill="1" applyAlignment="1">
      <alignment/>
    </xf>
    <xf numFmtId="43" fontId="17" fillId="0" borderId="42" xfId="0" applyNumberFormat="1" applyFont="1" applyBorder="1" applyAlignment="1">
      <alignment/>
    </xf>
    <xf numFmtId="4" fontId="0" fillId="34" borderId="0" xfId="0" applyNumberFormat="1" applyFill="1" applyAlignment="1">
      <alignment/>
    </xf>
    <xf numFmtId="4" fontId="0" fillId="0" borderId="42" xfId="0" applyNumberFormat="1" applyBorder="1" applyAlignment="1">
      <alignment/>
    </xf>
    <xf numFmtId="43" fontId="13" fillId="34" borderId="22" xfId="42" applyNumberFormat="1" applyFont="1" applyFill="1" applyBorder="1" applyAlignment="1">
      <alignment horizontal="right"/>
    </xf>
    <xf numFmtId="4" fontId="13" fillId="34" borderId="22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43" fontId="13" fillId="0" borderId="58" xfId="42" applyFont="1" applyFill="1" applyBorder="1" applyAlignment="1">
      <alignment/>
    </xf>
    <xf numFmtId="43" fontId="17" fillId="0" borderId="72" xfId="42" applyFont="1" applyFill="1" applyBorder="1" applyAlignment="1">
      <alignment/>
    </xf>
    <xf numFmtId="43" fontId="17" fillId="0" borderId="72" xfId="42" applyFon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3" fontId="17" fillId="0" borderId="58" xfId="42" applyFont="1" applyBorder="1" applyAlignment="1">
      <alignment/>
    </xf>
    <xf numFmtId="16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/>
    </xf>
    <xf numFmtId="2" fontId="17" fillId="0" borderId="60" xfId="44" applyNumberFormat="1" applyFont="1" applyBorder="1" applyAlignment="1">
      <alignment/>
    </xf>
    <xf numFmtId="0" fontId="8" fillId="34" borderId="0" xfId="0" applyFont="1" applyFill="1" applyAlignment="1">
      <alignment/>
    </xf>
    <xf numFmtId="0" fontId="0" fillId="0" borderId="63" xfId="0" applyFont="1" applyBorder="1" applyAlignment="1">
      <alignment wrapText="1"/>
    </xf>
    <xf numFmtId="173" fontId="0" fillId="0" borderId="10" xfId="42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4" fillId="0" borderId="42" xfId="44" applyNumberFormat="1" applyFont="1" applyBorder="1" applyAlignment="1">
      <alignment/>
    </xf>
    <xf numFmtId="0" fontId="0" fillId="0" borderId="89" xfId="0" applyFont="1" applyBorder="1" applyAlignment="1">
      <alignment/>
    </xf>
    <xf numFmtId="166" fontId="0" fillId="0" borderId="90" xfId="42" applyNumberFormat="1" applyFont="1" applyBorder="1" applyAlignment="1">
      <alignment/>
    </xf>
    <xf numFmtId="0" fontId="4" fillId="0" borderId="91" xfId="0" applyFont="1" applyBorder="1" applyAlignment="1" quotePrefix="1">
      <alignment horizontal="center"/>
    </xf>
    <xf numFmtId="0" fontId="4" fillId="0" borderId="92" xfId="0" applyFont="1" applyBorder="1" applyAlignment="1" quotePrefix="1">
      <alignment horizontal="center"/>
    </xf>
    <xf numFmtId="0" fontId="4" fillId="0" borderId="93" xfId="0" applyFont="1" applyBorder="1" applyAlignment="1" quotePrefix="1">
      <alignment horizontal="center"/>
    </xf>
    <xf numFmtId="0" fontId="0" fillId="0" borderId="94" xfId="0" applyFont="1" applyBorder="1" applyAlignment="1">
      <alignment/>
    </xf>
    <xf numFmtId="166" fontId="0" fillId="0" borderId="37" xfId="42" applyNumberFormat="1" applyFont="1" applyBorder="1" applyAlignment="1">
      <alignment/>
    </xf>
    <xf numFmtId="166" fontId="0" fillId="0" borderId="77" xfId="42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0" fontId="4" fillId="0" borderId="94" xfId="0" applyFont="1" applyBorder="1" applyAlignment="1">
      <alignment/>
    </xf>
    <xf numFmtId="4" fontId="0" fillId="0" borderId="94" xfId="0" applyNumberFormat="1" applyFont="1" applyBorder="1" applyAlignment="1">
      <alignment/>
    </xf>
    <xf numFmtId="0" fontId="0" fillId="0" borderId="95" xfId="0" applyFont="1" applyBorder="1" applyAlignment="1">
      <alignment/>
    </xf>
    <xf numFmtId="166" fontId="0" fillId="0" borderId="78" xfId="42" applyNumberFormat="1" applyFont="1" applyBorder="1" applyAlignment="1">
      <alignment/>
    </xf>
    <xf numFmtId="166" fontId="0" fillId="0" borderId="79" xfId="42" applyNumberFormat="1" applyFont="1" applyBorder="1" applyAlignment="1">
      <alignment/>
    </xf>
    <xf numFmtId="0" fontId="0" fillId="0" borderId="96" xfId="0" applyFont="1" applyBorder="1" applyAlignment="1">
      <alignment/>
    </xf>
    <xf numFmtId="166" fontId="0" fillId="0" borderId="97" xfId="42" applyNumberFormat="1" applyFont="1" applyBorder="1" applyAlignment="1">
      <alignment/>
    </xf>
    <xf numFmtId="166" fontId="0" fillId="0" borderId="98" xfId="42" applyNumberFormat="1" applyFont="1" applyBorder="1" applyAlignment="1">
      <alignment/>
    </xf>
    <xf numFmtId="173" fontId="12" fillId="0" borderId="89" xfId="0" applyNumberFormat="1" applyFont="1" applyBorder="1" applyAlignment="1">
      <alignment/>
    </xf>
    <xf numFmtId="173" fontId="12" fillId="0" borderId="90" xfId="0" applyNumberFormat="1" applyFont="1" applyBorder="1" applyAlignment="1">
      <alignment/>
    </xf>
    <xf numFmtId="173" fontId="12" fillId="0" borderId="71" xfId="0" applyNumberFormat="1" applyFont="1" applyBorder="1" applyAlignment="1">
      <alignment/>
    </xf>
    <xf numFmtId="166" fontId="0" fillId="0" borderId="89" xfId="42" applyNumberFormat="1" applyFont="1" applyBorder="1" applyAlignment="1">
      <alignment/>
    </xf>
    <xf numFmtId="166" fontId="0" fillId="0" borderId="71" xfId="42" applyNumberFormat="1" applyFont="1" applyBorder="1" applyAlignment="1">
      <alignment/>
    </xf>
    <xf numFmtId="166" fontId="0" fillId="0" borderId="94" xfId="42" applyNumberFormat="1" applyFont="1" applyBorder="1" applyAlignment="1">
      <alignment/>
    </xf>
    <xf numFmtId="166" fontId="0" fillId="0" borderId="35" xfId="42" applyNumberFormat="1" applyFont="1" applyBorder="1" applyAlignment="1">
      <alignment/>
    </xf>
    <xf numFmtId="166" fontId="0" fillId="0" borderId="95" xfId="42" applyNumberFormat="1" applyFont="1" applyBorder="1" applyAlignment="1">
      <alignment/>
    </xf>
    <xf numFmtId="166" fontId="0" fillId="0" borderId="96" xfId="42" applyNumberFormat="1" applyFont="1" applyBorder="1" applyAlignment="1">
      <alignment/>
    </xf>
    <xf numFmtId="166" fontId="0" fillId="0" borderId="71" xfId="42" applyNumberFormat="1" applyFont="1" applyBorder="1" applyAlignment="1">
      <alignment horizontal="center" wrapText="1"/>
    </xf>
    <xf numFmtId="173" fontId="4" fillId="0" borderId="30" xfId="42" applyNumberFormat="1" applyFont="1" applyBorder="1" applyAlignment="1">
      <alignment/>
    </xf>
    <xf numFmtId="173" fontId="4" fillId="0" borderId="72" xfId="42" applyNumberFormat="1" applyFont="1" applyBorder="1" applyAlignment="1">
      <alignment/>
    </xf>
    <xf numFmtId="173" fontId="4" fillId="0" borderId="75" xfId="42" applyNumberFormat="1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166" fontId="4" fillId="0" borderId="0" xfId="44" applyNumberFormat="1" applyFont="1" applyAlignment="1" quotePrefix="1">
      <alignment horizontal="center"/>
    </xf>
    <xf numFmtId="166" fontId="0" fillId="0" borderId="75" xfId="42" applyNumberFormat="1" applyFont="1" applyBorder="1" applyAlignment="1">
      <alignment/>
    </xf>
    <xf numFmtId="166" fontId="0" fillId="0" borderId="99" xfId="42" applyNumberFormat="1" applyFont="1" applyBorder="1" applyAlignment="1">
      <alignment/>
    </xf>
    <xf numFmtId="16" fontId="7" fillId="0" borderId="0" xfId="0" applyNumberFormat="1" applyFont="1" applyAlignment="1">
      <alignment/>
    </xf>
    <xf numFmtId="16" fontId="1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30" xfId="0" applyNumberFormat="1" applyFont="1" applyBorder="1" applyAlignment="1">
      <alignment/>
    </xf>
    <xf numFmtId="43" fontId="13" fillId="0" borderId="22" xfId="42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17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7" fillId="32" borderId="79" xfId="0" applyFont="1" applyFill="1" applyBorder="1" applyAlignment="1">
      <alignment/>
    </xf>
    <xf numFmtId="166" fontId="0" fillId="0" borderId="18" xfId="42" applyNumberFormat="1" applyFont="1" applyBorder="1" applyAlignment="1">
      <alignment/>
    </xf>
    <xf numFmtId="4" fontId="4" fillId="0" borderId="57" xfId="0" applyNumberFormat="1" applyFont="1" applyBorder="1" applyAlignment="1">
      <alignment horizontal="center" wrapText="1"/>
    </xf>
    <xf numFmtId="4" fontId="4" fillId="0" borderId="51" xfId="0" applyNumberFormat="1" applyFont="1" applyBorder="1" applyAlignment="1">
      <alignment horizontal="center" wrapText="1"/>
    </xf>
    <xf numFmtId="4" fontId="4" fillId="0" borderId="88" xfId="0" applyNumberFormat="1" applyFont="1" applyBorder="1" applyAlignment="1">
      <alignment horizontal="center" wrapText="1"/>
    </xf>
    <xf numFmtId="166" fontId="3" fillId="0" borderId="0" xfId="42" applyNumberFormat="1" applyFont="1" applyBorder="1" applyAlignment="1">
      <alignment horizontal="center"/>
    </xf>
    <xf numFmtId="166" fontId="3" fillId="0" borderId="59" xfId="42" applyNumberFormat="1" applyFont="1" applyBorder="1" applyAlignment="1">
      <alignment horizontal="center"/>
    </xf>
    <xf numFmtId="166" fontId="3" fillId="0" borderId="58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72" xfId="0" applyNumberFormat="1" applyFont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173" fontId="4" fillId="0" borderId="72" xfId="0" applyNumberFormat="1" applyFont="1" applyBorder="1" applyAlignment="1" quotePrefix="1">
      <alignment horizontal="center"/>
    </xf>
    <xf numFmtId="173" fontId="4" fillId="0" borderId="75" xfId="0" applyNumberFormat="1" applyFont="1" applyBorder="1" applyAlignment="1">
      <alignment horizontal="center"/>
    </xf>
    <xf numFmtId="173" fontId="4" fillId="0" borderId="75" xfId="0" applyNumberFormat="1" applyFont="1" applyBorder="1" applyAlignment="1" quotePrefix="1">
      <alignment horizontal="center"/>
    </xf>
    <xf numFmtId="4" fontId="8" fillId="0" borderId="72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75" xfId="0" applyNumberFormat="1" applyFont="1" applyBorder="1" applyAlignment="1">
      <alignment horizontal="center"/>
    </xf>
    <xf numFmtId="4" fontId="8" fillId="0" borderId="100" xfId="0" applyNumberFormat="1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66" fontId="4" fillId="0" borderId="72" xfId="42" applyNumberFormat="1" applyFont="1" applyBorder="1" applyAlignment="1">
      <alignment horizontal="center"/>
    </xf>
    <xf numFmtId="166" fontId="4" fillId="0" borderId="42" xfId="42" applyNumberFormat="1" applyFont="1" applyBorder="1" applyAlignment="1">
      <alignment horizontal="center"/>
    </xf>
    <xf numFmtId="166" fontId="4" fillId="0" borderId="75" xfId="42" applyNumberFormat="1" applyFont="1" applyBorder="1" applyAlignment="1">
      <alignment horizontal="center"/>
    </xf>
    <xf numFmtId="166" fontId="4" fillId="0" borderId="11" xfId="42" applyNumberFormat="1" applyFont="1" applyBorder="1" applyAlignment="1">
      <alignment horizontal="center" wrapText="1"/>
    </xf>
    <xf numFmtId="166" fontId="4" fillId="0" borderId="18" xfId="42" applyNumberFormat="1" applyFont="1" applyBorder="1" applyAlignment="1">
      <alignment horizontal="center" wrapText="1"/>
    </xf>
    <xf numFmtId="173" fontId="4" fillId="0" borderId="72" xfId="0" applyNumberFormat="1" applyFont="1" applyBorder="1" applyAlignment="1">
      <alignment horizontal="center"/>
    </xf>
    <xf numFmtId="173" fontId="4" fillId="0" borderId="42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left" wrapText="1"/>
    </xf>
    <xf numFmtId="4" fontId="4" fillId="0" borderId="51" xfId="0" applyNumberFormat="1" applyFont="1" applyBorder="1" applyAlignment="1">
      <alignment horizontal="left" wrapText="1"/>
    </xf>
    <xf numFmtId="4" fontId="4" fillId="0" borderId="88" xfId="0" applyNumberFormat="1" applyFont="1" applyBorder="1" applyAlignment="1">
      <alignment horizontal="left" wrapText="1"/>
    </xf>
    <xf numFmtId="0" fontId="4" fillId="0" borderId="7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66" fontId="4" fillId="0" borderId="11" xfId="42" applyNumberFormat="1" applyFont="1" applyBorder="1" applyAlignment="1">
      <alignment horizontal="center" vertical="center" wrapText="1"/>
    </xf>
    <xf numFmtId="166" fontId="4" fillId="0" borderId="14" xfId="42" applyNumberFormat="1" applyFont="1" applyBorder="1" applyAlignment="1">
      <alignment horizontal="center" vertical="center" wrapText="1"/>
    </xf>
    <xf numFmtId="166" fontId="4" fillId="0" borderId="18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73" fontId="4" fillId="0" borderId="11" xfId="42" applyNumberFormat="1" applyFont="1" applyBorder="1" applyAlignment="1">
      <alignment horizontal="center" vertical="center" wrapText="1"/>
    </xf>
    <xf numFmtId="173" fontId="4" fillId="0" borderId="14" xfId="42" applyNumberFormat="1" applyFont="1" applyBorder="1" applyAlignment="1">
      <alignment horizontal="center" vertical="center" wrapText="1"/>
    </xf>
    <xf numFmtId="173" fontId="4" fillId="0" borderId="18" xfId="42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921\users$\tvr\nigel.orr\Northern%20Athletics%20@%205%20Oct%202009\Annual%20report%20statements%20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%20Ledger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rec"/>
      <sheetName val="Imprest"/>
      <sheetName val="Fixed asets"/>
      <sheetName val="Drs + Crs"/>
      <sheetName val="Investments"/>
      <sheetName val="Journals"/>
      <sheetName val="New Trial Balance"/>
      <sheetName val="Stock"/>
      <sheetName val="Inc &amp; Exp acc"/>
      <sheetName val="Income"/>
      <sheetName val="Balance sheet"/>
      <sheetName val="Expenditure"/>
      <sheetName val="New Notes"/>
      <sheetName val="Pay-in-slips"/>
      <sheetName val="Cheque list to year-end"/>
      <sheetName val="Draft Budget 08-09"/>
      <sheetName val="Year-end report"/>
      <sheetName val="Monthly 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Bank rec"/>
      <sheetName val="Imprest"/>
      <sheetName val="Fixed asets"/>
      <sheetName val="Trial Balance"/>
      <sheetName val="2015-16 Drs + Crs"/>
      <sheetName val="Inc &amp; Exp acc"/>
      <sheetName val="Balance sheet"/>
      <sheetName val="Income"/>
      <sheetName val="Expenditure"/>
      <sheetName val="New format Notes"/>
      <sheetName val="Monthly report"/>
      <sheetName val="Notes Summary"/>
    </sheetNames>
    <sheetDataSet>
      <sheetData sheetId="7">
        <row r="25">
          <cell r="E25">
            <v>204284.83000000002</v>
          </cell>
        </row>
      </sheetData>
      <sheetData sheetId="9">
        <row r="256">
          <cell r="AJ256">
            <v>152987.14</v>
          </cell>
        </row>
        <row r="259">
          <cell r="AJ259">
            <v>150672.5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"/>
  <sheetViews>
    <sheetView zoomScalePageLayoutView="0" workbookViewId="0" topLeftCell="A1">
      <selection activeCell="C10" sqref="C10"/>
    </sheetView>
  </sheetViews>
  <sheetFormatPr defaultColWidth="8.88671875" defaultRowHeight="15"/>
  <cols>
    <col min="13" max="13" width="9.10546875" style="0" bestFit="1" customWidth="1"/>
    <col min="14" max="18" width="8.99609375" style="0" bestFit="1" customWidth="1"/>
  </cols>
  <sheetData>
    <row r="3" ht="15">
      <c r="A3" s="75" t="s">
        <v>16</v>
      </c>
    </row>
    <row r="5" spans="3:18" ht="15">
      <c r="C5">
        <v>2017</v>
      </c>
      <c r="D5">
        <v>2016</v>
      </c>
      <c r="E5">
        <v>2015</v>
      </c>
      <c r="F5">
        <v>2014</v>
      </c>
      <c r="G5">
        <v>2013</v>
      </c>
      <c r="H5">
        <v>2012</v>
      </c>
      <c r="I5">
        <v>2011</v>
      </c>
      <c r="J5" s="76">
        <v>2010</v>
      </c>
      <c r="K5" s="76">
        <v>2009</v>
      </c>
      <c r="L5" s="76">
        <v>2008</v>
      </c>
      <c r="M5" s="76">
        <v>2007</v>
      </c>
      <c r="N5" s="76">
        <v>2006</v>
      </c>
      <c r="O5" s="76">
        <v>2005</v>
      </c>
      <c r="P5" s="76">
        <v>2004</v>
      </c>
      <c r="Q5" s="76">
        <v>2003</v>
      </c>
      <c r="R5" s="76">
        <v>2002</v>
      </c>
    </row>
    <row r="7" spans="1:18" ht="15">
      <c r="A7" t="s">
        <v>113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110</v>
      </c>
      <c r="L7">
        <v>304</v>
      </c>
      <c r="M7" s="302">
        <v>1233</v>
      </c>
      <c r="N7" s="302">
        <v>749</v>
      </c>
      <c r="O7" s="302">
        <v>1282</v>
      </c>
      <c r="P7" s="302">
        <v>1259</v>
      </c>
      <c r="Q7" s="302">
        <v>1026</v>
      </c>
      <c r="R7" s="302">
        <v>923</v>
      </c>
    </row>
    <row r="8" spans="13:18" ht="15">
      <c r="M8" s="302"/>
      <c r="N8" s="302"/>
      <c r="O8" s="302"/>
      <c r="P8" s="302"/>
      <c r="Q8" s="302"/>
      <c r="R8" s="302"/>
    </row>
    <row r="9" spans="1:18" ht="15">
      <c r="A9" t="s">
        <v>114</v>
      </c>
      <c r="C9">
        <f>299*5</f>
        <v>1495</v>
      </c>
      <c r="D9">
        <v>1320</v>
      </c>
      <c r="E9">
        <f>277*5</f>
        <v>1385</v>
      </c>
      <c r="F9">
        <f>272*5</f>
        <v>1360</v>
      </c>
      <c r="G9">
        <f>204*5</f>
        <v>1020</v>
      </c>
      <c r="H9">
        <f>5*267</f>
        <v>1335</v>
      </c>
      <c r="I9">
        <v>435</v>
      </c>
      <c r="J9">
        <v>634</v>
      </c>
      <c r="K9">
        <f>189*5</f>
        <v>945</v>
      </c>
      <c r="L9">
        <v>2626</v>
      </c>
      <c r="M9" s="302">
        <v>5789</v>
      </c>
      <c r="N9" s="302">
        <v>4729</v>
      </c>
      <c r="O9" s="302">
        <v>2612</v>
      </c>
      <c r="P9" s="302">
        <v>2882</v>
      </c>
      <c r="Q9" s="302">
        <v>2834</v>
      </c>
      <c r="R9" s="302">
        <v>3338</v>
      </c>
    </row>
    <row r="10" spans="13:18" ht="15">
      <c r="M10" s="302"/>
      <c r="N10" s="302"/>
      <c r="O10" s="302"/>
      <c r="P10" s="302"/>
      <c r="Q10" s="302"/>
      <c r="R10" s="302"/>
    </row>
    <row r="11" spans="1:18" ht="15">
      <c r="A11" t="s">
        <v>115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567</v>
      </c>
      <c r="M11" s="302">
        <v>574</v>
      </c>
      <c r="N11" s="302">
        <v>574</v>
      </c>
      <c r="O11" s="302">
        <v>476</v>
      </c>
      <c r="P11" s="302">
        <v>546</v>
      </c>
      <c r="Q11" s="302">
        <v>182</v>
      </c>
      <c r="R11" s="302">
        <v>298</v>
      </c>
    </row>
    <row r="12" spans="13:18" ht="15">
      <c r="M12" s="302"/>
      <c r="N12" s="302"/>
      <c r="O12" s="302"/>
      <c r="P12" s="302"/>
      <c r="Q12" s="302"/>
      <c r="R12" s="302"/>
    </row>
    <row r="13" spans="3:18" ht="15.75" thickBot="1">
      <c r="C13" s="303">
        <f aca="true" t="shared" si="0" ref="C13:H13">SUM(C7:C12)</f>
        <v>1495</v>
      </c>
      <c r="D13" s="303">
        <f t="shared" si="0"/>
        <v>1320</v>
      </c>
      <c r="E13" s="303">
        <f t="shared" si="0"/>
        <v>1385</v>
      </c>
      <c r="F13" s="303">
        <f t="shared" si="0"/>
        <v>1360</v>
      </c>
      <c r="G13" s="303">
        <f t="shared" si="0"/>
        <v>1020</v>
      </c>
      <c r="H13" s="303">
        <f t="shared" si="0"/>
        <v>1335</v>
      </c>
      <c r="I13" s="303">
        <f aca="true" t="shared" si="1" ref="I13:N13">SUM(I7:I12)</f>
        <v>435</v>
      </c>
      <c r="J13" s="303">
        <f t="shared" si="1"/>
        <v>634</v>
      </c>
      <c r="K13" s="303">
        <f t="shared" si="1"/>
        <v>1055</v>
      </c>
      <c r="L13" s="303">
        <f t="shared" si="1"/>
        <v>3497</v>
      </c>
      <c r="M13" s="303">
        <f t="shared" si="1"/>
        <v>7596</v>
      </c>
      <c r="N13" s="303">
        <f t="shared" si="1"/>
        <v>6052</v>
      </c>
      <c r="O13" s="303">
        <v>4370</v>
      </c>
      <c r="P13" s="303">
        <v>4687</v>
      </c>
      <c r="Q13" s="303">
        <v>4042</v>
      </c>
      <c r="R13" s="303">
        <v>4559</v>
      </c>
    </row>
    <row r="14" spans="13:18" ht="15.75" thickTop="1">
      <c r="M14" s="302"/>
      <c r="N14" s="302"/>
      <c r="O14" s="302"/>
      <c r="P14" s="302"/>
      <c r="Q14" s="302"/>
      <c r="R14" s="302"/>
    </row>
    <row r="15" spans="2:18" ht="15">
      <c r="B15" t="s">
        <v>116</v>
      </c>
      <c r="C15" s="452">
        <f>C13-D13</f>
        <v>175</v>
      </c>
      <c r="D15" s="452">
        <f>D13-E13</f>
        <v>-65</v>
      </c>
      <c r="E15" s="452">
        <f>E13-F13</f>
        <v>25</v>
      </c>
      <c r="F15" s="452">
        <f>F13-G13</f>
        <v>340</v>
      </c>
      <c r="G15" s="452">
        <f>G13-H13</f>
        <v>-315</v>
      </c>
      <c r="H15" s="452">
        <f aca="true" t="shared" si="2" ref="H15:M15">H13-I13</f>
        <v>900</v>
      </c>
      <c r="I15" s="452">
        <f t="shared" si="2"/>
        <v>-199</v>
      </c>
      <c r="J15" s="452">
        <f t="shared" si="2"/>
        <v>-421</v>
      </c>
      <c r="K15" s="452">
        <f t="shared" si="2"/>
        <v>-2442</v>
      </c>
      <c r="L15" s="452">
        <f t="shared" si="2"/>
        <v>-4099</v>
      </c>
      <c r="M15" s="452">
        <f t="shared" si="2"/>
        <v>1544</v>
      </c>
      <c r="N15" s="302"/>
      <c r="O15" s="302"/>
      <c r="P15" s="302"/>
      <c r="Q15" s="302"/>
      <c r="R15" s="302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47"/>
  <sheetViews>
    <sheetView zoomScale="142" zoomScaleNormal="142" zoomScaleSheetLayoutView="100" zoomScalePageLayoutView="0" workbookViewId="0" topLeftCell="A1">
      <pane xSplit="4" ySplit="5" topLeftCell="E2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39" sqref="J239"/>
    </sheetView>
  </sheetViews>
  <sheetFormatPr defaultColWidth="7.77734375" defaultRowHeight="15"/>
  <cols>
    <col min="1" max="1" width="3.88671875" style="7" customWidth="1"/>
    <col min="2" max="2" width="6.4453125" style="7" customWidth="1"/>
    <col min="3" max="3" width="11.77734375" style="7" customWidth="1"/>
    <col min="4" max="4" width="6.77734375" style="54" customWidth="1"/>
    <col min="5" max="5" width="7.77734375" style="63" customWidth="1"/>
    <col min="6" max="6" width="7.77734375" style="154" customWidth="1"/>
    <col min="7" max="7" width="7.77734375" style="63" customWidth="1"/>
    <col min="8" max="8" width="6.88671875" style="159" customWidth="1"/>
    <col min="9" max="9" width="6.88671875" style="62" customWidth="1"/>
    <col min="10" max="10" width="8.5546875" style="61" customWidth="1"/>
    <col min="11" max="11" width="7.77734375" style="63" customWidth="1"/>
    <col min="12" max="12" width="7.77734375" style="61" customWidth="1"/>
    <col min="13" max="13" width="7.77734375" style="63" customWidth="1"/>
    <col min="14" max="15" width="7.77734375" style="61" customWidth="1"/>
    <col min="16" max="16" width="6.88671875" style="63" customWidth="1"/>
    <col min="17" max="17" width="7.77734375" style="63" customWidth="1"/>
    <col min="18" max="18" width="7.10546875" style="62" customWidth="1"/>
    <col min="19" max="19" width="6.88671875" style="62" customWidth="1"/>
    <col min="20" max="25" width="7.77734375" style="63" customWidth="1"/>
    <col min="26" max="26" width="6.3359375" style="63" customWidth="1"/>
    <col min="27" max="27" width="6.10546875" style="63" customWidth="1"/>
    <col min="28" max="29" width="6.99609375" style="63" customWidth="1"/>
    <col min="30" max="32" width="7.77734375" style="63" customWidth="1"/>
    <col min="33" max="33" width="6.77734375" style="63" customWidth="1"/>
    <col min="34" max="34" width="8.77734375" style="90" customWidth="1"/>
    <col min="35" max="35" width="8.3359375" style="7" customWidth="1"/>
    <col min="36" max="16384" width="7.77734375" style="7" customWidth="1"/>
  </cols>
  <sheetData>
    <row r="1" spans="2:35" ht="17.25" customHeight="1">
      <c r="B1" s="42" t="s">
        <v>307</v>
      </c>
      <c r="C1" s="4"/>
      <c r="D1" s="155"/>
      <c r="E1" s="45"/>
      <c r="F1" s="149"/>
      <c r="G1" s="45"/>
      <c r="H1" s="164"/>
      <c r="I1" s="43"/>
      <c r="J1" s="44"/>
      <c r="K1" s="45"/>
      <c r="L1" s="44"/>
      <c r="M1" s="45"/>
      <c r="N1" s="44"/>
      <c r="O1" s="44"/>
      <c r="P1" s="45"/>
      <c r="Q1" s="45"/>
      <c r="R1" s="43"/>
      <c r="S1" s="43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85"/>
      <c r="AI1" s="4"/>
    </row>
    <row r="2" spans="2:35" s="14" customFormat="1" ht="12">
      <c r="B2" s="8"/>
      <c r="C2" s="9"/>
      <c r="D2" s="156"/>
      <c r="E2" s="48"/>
      <c r="F2" s="150"/>
      <c r="G2" s="48"/>
      <c r="H2" s="165"/>
      <c r="I2" s="46"/>
      <c r="J2" s="47"/>
      <c r="K2" s="48"/>
      <c r="L2" s="47"/>
      <c r="M2" s="48"/>
      <c r="N2" s="47"/>
      <c r="O2" s="47"/>
      <c r="P2" s="48"/>
      <c r="Q2" s="48"/>
      <c r="R2" s="46"/>
      <c r="S2" s="46"/>
      <c r="T2" s="605" t="s">
        <v>0</v>
      </c>
      <c r="U2" s="605"/>
      <c r="V2" s="605"/>
      <c r="W2" s="605"/>
      <c r="X2" s="605"/>
      <c r="Y2" s="605"/>
      <c r="Z2" s="605"/>
      <c r="AA2" s="123"/>
      <c r="AB2" s="124" t="s">
        <v>79</v>
      </c>
      <c r="AC2" s="290"/>
      <c r="AD2" s="606" t="s">
        <v>1</v>
      </c>
      <c r="AE2" s="605"/>
      <c r="AF2" s="605"/>
      <c r="AG2" s="605"/>
      <c r="AH2" s="86"/>
      <c r="AI2" s="9"/>
    </row>
    <row r="3" spans="1:36" s="21" customFormat="1" ht="12">
      <c r="A3" s="21" t="s">
        <v>82</v>
      </c>
      <c r="B3" s="15" t="s">
        <v>2</v>
      </c>
      <c r="C3" s="15" t="s">
        <v>3</v>
      </c>
      <c r="D3" s="15" t="s">
        <v>4</v>
      </c>
      <c r="E3" s="51" t="s">
        <v>117</v>
      </c>
      <c r="F3" s="151" t="s">
        <v>122</v>
      </c>
      <c r="G3" s="51" t="s">
        <v>124</v>
      </c>
      <c r="H3" s="130" t="s">
        <v>118</v>
      </c>
      <c r="I3" s="50" t="s">
        <v>119</v>
      </c>
      <c r="J3" s="17" t="s">
        <v>38</v>
      </c>
      <c r="K3" s="51" t="s">
        <v>120</v>
      </c>
      <c r="L3" s="17" t="s">
        <v>126</v>
      </c>
      <c r="M3" s="51" t="s">
        <v>128</v>
      </c>
      <c r="N3" s="17" t="s">
        <v>129</v>
      </c>
      <c r="O3" s="17" t="s">
        <v>217</v>
      </c>
      <c r="P3" s="51"/>
      <c r="Q3" s="51" t="s">
        <v>6</v>
      </c>
      <c r="R3" s="50" t="s">
        <v>5</v>
      </c>
      <c r="S3" s="50" t="s">
        <v>247</v>
      </c>
      <c r="T3" s="605" t="s">
        <v>7</v>
      </c>
      <c r="U3" s="605"/>
      <c r="V3" s="605"/>
      <c r="W3" s="605"/>
      <c r="X3" s="51" t="s">
        <v>8</v>
      </c>
      <c r="Y3" s="51" t="s">
        <v>9</v>
      </c>
      <c r="Z3" s="51" t="s">
        <v>10</v>
      </c>
      <c r="AA3" s="51" t="s">
        <v>149</v>
      </c>
      <c r="AB3" s="51" t="s">
        <v>239</v>
      </c>
      <c r="AC3" s="51" t="s">
        <v>204</v>
      </c>
      <c r="AD3" s="49" t="s">
        <v>11</v>
      </c>
      <c r="AE3" s="49" t="s">
        <v>8</v>
      </c>
      <c r="AF3" s="49" t="s">
        <v>9</v>
      </c>
      <c r="AG3" s="49" t="s">
        <v>10</v>
      </c>
      <c r="AH3" s="87"/>
      <c r="AI3" s="15"/>
      <c r="AJ3" s="14" t="str">
        <f>D3</f>
        <v>Cheque</v>
      </c>
    </row>
    <row r="4" spans="2:37" s="21" customFormat="1" ht="12">
      <c r="B4" s="15"/>
      <c r="C4" s="15"/>
      <c r="D4" s="15" t="s">
        <v>12</v>
      </c>
      <c r="E4" s="51"/>
      <c r="F4" s="151" t="s">
        <v>123</v>
      </c>
      <c r="G4" s="51" t="s">
        <v>125</v>
      </c>
      <c r="H4" s="130"/>
      <c r="I4" s="50"/>
      <c r="J4" s="17" t="s">
        <v>152</v>
      </c>
      <c r="K4" s="51" t="s">
        <v>121</v>
      </c>
      <c r="L4" s="17" t="s">
        <v>127</v>
      </c>
      <c r="M4" s="51"/>
      <c r="N4" s="17" t="s">
        <v>28</v>
      </c>
      <c r="O4" s="17"/>
      <c r="P4" s="51" t="s">
        <v>55</v>
      </c>
      <c r="Q4" s="51" t="s">
        <v>16</v>
      </c>
      <c r="R4" s="50" t="s">
        <v>13</v>
      </c>
      <c r="S4" s="50" t="s">
        <v>248</v>
      </c>
      <c r="T4" s="51" t="s">
        <v>202</v>
      </c>
      <c r="U4" s="51" t="s">
        <v>18</v>
      </c>
      <c r="V4" s="51" t="s">
        <v>19</v>
      </c>
      <c r="W4" s="51" t="s">
        <v>83</v>
      </c>
      <c r="X4" s="51" t="s">
        <v>21</v>
      </c>
      <c r="Y4" s="51" t="s">
        <v>22</v>
      </c>
      <c r="Z4" s="51" t="s">
        <v>23</v>
      </c>
      <c r="AA4" s="51" t="s">
        <v>79</v>
      </c>
      <c r="AB4" s="51" t="s">
        <v>19</v>
      </c>
      <c r="AC4" s="51" t="s">
        <v>198</v>
      </c>
      <c r="AD4" s="51" t="s">
        <v>24</v>
      </c>
      <c r="AE4" s="51" t="s">
        <v>21</v>
      </c>
      <c r="AF4" s="51" t="s">
        <v>22</v>
      </c>
      <c r="AG4" s="51" t="s">
        <v>23</v>
      </c>
      <c r="AH4" s="87" t="s">
        <v>27</v>
      </c>
      <c r="AI4" s="15"/>
      <c r="AJ4" s="14" t="str">
        <f>D4</f>
        <v>No.</v>
      </c>
      <c r="AK4" s="21" t="s">
        <v>50</v>
      </c>
    </row>
    <row r="5" spans="2:36" s="21" customFormat="1" ht="12">
      <c r="B5" s="22"/>
      <c r="C5" s="22"/>
      <c r="D5" s="22"/>
      <c r="E5" s="53"/>
      <c r="F5" s="152"/>
      <c r="G5" s="53"/>
      <c r="H5" s="132"/>
      <c r="I5" s="52"/>
      <c r="J5" s="24"/>
      <c r="K5" s="53"/>
      <c r="L5" s="24"/>
      <c r="M5" s="53"/>
      <c r="N5" s="24"/>
      <c r="O5" s="24"/>
      <c r="P5" s="53" t="s">
        <v>56</v>
      </c>
      <c r="Q5" s="53"/>
      <c r="R5" s="52"/>
      <c r="S5" s="52"/>
      <c r="T5" s="53"/>
      <c r="U5" s="53" t="s">
        <v>158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88"/>
      <c r="AI5" s="22" t="s">
        <v>31</v>
      </c>
      <c r="AJ5" s="14"/>
    </row>
    <row r="6" spans="1:36" s="54" customFormat="1" ht="12">
      <c r="A6" s="391">
        <v>1</v>
      </c>
      <c r="B6" s="55">
        <v>42467</v>
      </c>
      <c r="C6" s="56" t="s">
        <v>228</v>
      </c>
      <c r="D6" s="157" t="s">
        <v>253</v>
      </c>
      <c r="E6" s="35"/>
      <c r="F6" s="153"/>
      <c r="G6" s="35">
        <v>300</v>
      </c>
      <c r="H6" s="166"/>
      <c r="I6" s="57"/>
      <c r="J6" s="35"/>
      <c r="K6" s="35"/>
      <c r="L6" s="35"/>
      <c r="M6" s="35"/>
      <c r="N6" s="35"/>
      <c r="O6" s="35"/>
      <c r="P6" s="35"/>
      <c r="Q6" s="35"/>
      <c r="R6" s="57"/>
      <c r="S6" s="57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89"/>
      <c r="AI6" s="506">
        <f aca="true" t="shared" si="0" ref="AI6:AI69">SUM(E6:AH6)</f>
        <v>300</v>
      </c>
      <c r="AJ6" s="14" t="str">
        <f>D6</f>
        <v>Bacs</v>
      </c>
    </row>
    <row r="7" spans="1:36" s="54" customFormat="1" ht="12">
      <c r="A7" s="392">
        <v>2</v>
      </c>
      <c r="B7" s="55">
        <v>42461</v>
      </c>
      <c r="C7" s="56" t="s">
        <v>249</v>
      </c>
      <c r="D7" s="157" t="s">
        <v>253</v>
      </c>
      <c r="E7" s="35"/>
      <c r="F7" s="153"/>
      <c r="G7" s="35"/>
      <c r="H7" s="166"/>
      <c r="I7" s="57"/>
      <c r="J7" s="35"/>
      <c r="K7" s="35"/>
      <c r="L7" s="35"/>
      <c r="M7" s="35"/>
      <c r="N7" s="35"/>
      <c r="O7" s="35"/>
      <c r="P7" s="35"/>
      <c r="Q7" s="35"/>
      <c r="R7" s="57"/>
      <c r="S7" s="57"/>
      <c r="T7" s="35"/>
      <c r="U7" s="35"/>
      <c r="V7" s="35"/>
      <c r="W7" s="35"/>
      <c r="X7" s="35"/>
      <c r="Y7" s="35">
        <v>137.02</v>
      </c>
      <c r="Z7" s="35"/>
      <c r="AA7" s="35"/>
      <c r="AB7" s="35"/>
      <c r="AC7" s="35"/>
      <c r="AD7" s="35"/>
      <c r="AE7" s="35"/>
      <c r="AF7" s="35"/>
      <c r="AG7" s="35"/>
      <c r="AH7" s="89"/>
      <c r="AI7" s="506">
        <f t="shared" si="0"/>
        <v>137.02</v>
      </c>
      <c r="AJ7" s="14" t="str">
        <f aca="true" t="shared" si="1" ref="AJ7:AJ58">D7</f>
        <v>Bacs</v>
      </c>
    </row>
    <row r="8" spans="1:37" s="54" customFormat="1" ht="12">
      <c r="A8" s="391">
        <v>3</v>
      </c>
      <c r="B8" s="55">
        <v>42467</v>
      </c>
      <c r="C8" s="56" t="s">
        <v>251</v>
      </c>
      <c r="D8" s="157" t="s">
        <v>253</v>
      </c>
      <c r="E8" s="35"/>
      <c r="F8" s="153"/>
      <c r="G8" s="35"/>
      <c r="H8" s="166"/>
      <c r="I8" s="57"/>
      <c r="J8" s="35"/>
      <c r="K8" s="35"/>
      <c r="L8" s="35"/>
      <c r="M8" s="35"/>
      <c r="N8" s="35"/>
      <c r="O8" s="35"/>
      <c r="P8" s="35"/>
      <c r="Q8" s="35"/>
      <c r="R8" s="57"/>
      <c r="S8" s="57"/>
      <c r="T8" s="35"/>
      <c r="U8" s="35"/>
      <c r="V8" s="35"/>
      <c r="W8" s="35"/>
      <c r="X8" s="35"/>
      <c r="Y8" s="35">
        <v>384</v>
      </c>
      <c r="Z8" s="35"/>
      <c r="AA8" s="35"/>
      <c r="AB8" s="35"/>
      <c r="AC8" s="35"/>
      <c r="AD8" s="35"/>
      <c r="AE8" s="35"/>
      <c r="AF8" s="35"/>
      <c r="AG8" s="35"/>
      <c r="AH8" s="89"/>
      <c r="AI8" s="506">
        <f t="shared" si="0"/>
        <v>384</v>
      </c>
      <c r="AJ8" s="14" t="str">
        <f t="shared" si="1"/>
        <v>Bacs</v>
      </c>
      <c r="AK8" s="78"/>
    </row>
    <row r="9" spans="1:36" s="54" customFormat="1" ht="12">
      <c r="A9" s="392">
        <v>4</v>
      </c>
      <c r="B9" s="55">
        <v>42453</v>
      </c>
      <c r="C9" s="56" t="s">
        <v>225</v>
      </c>
      <c r="D9" s="157">
        <v>3879</v>
      </c>
      <c r="E9" s="35"/>
      <c r="F9" s="153"/>
      <c r="G9" s="35"/>
      <c r="H9" s="166"/>
      <c r="I9" s="57"/>
      <c r="J9" s="35"/>
      <c r="K9" s="35"/>
      <c r="L9" s="35"/>
      <c r="M9" s="35"/>
      <c r="N9" s="35"/>
      <c r="O9" s="35"/>
      <c r="P9" s="35"/>
      <c r="Q9" s="35"/>
      <c r="R9" s="57"/>
      <c r="S9" s="57"/>
      <c r="T9" s="35"/>
      <c r="U9" s="35"/>
      <c r="V9" s="35"/>
      <c r="W9" s="35"/>
      <c r="X9" s="35"/>
      <c r="Y9" s="35">
        <v>66.82</v>
      </c>
      <c r="Z9" s="35"/>
      <c r="AA9" s="35"/>
      <c r="AB9" s="35"/>
      <c r="AC9" s="35"/>
      <c r="AD9" s="35"/>
      <c r="AE9" s="35"/>
      <c r="AF9" s="35"/>
      <c r="AG9" s="35"/>
      <c r="AH9" s="89"/>
      <c r="AI9" s="506">
        <f t="shared" si="0"/>
        <v>66.82</v>
      </c>
      <c r="AJ9" s="14">
        <f t="shared" si="1"/>
        <v>3879</v>
      </c>
    </row>
    <row r="10" spans="1:36" ht="12">
      <c r="A10" s="391">
        <v>5</v>
      </c>
      <c r="B10" s="33">
        <v>42474</v>
      </c>
      <c r="C10" s="56" t="s">
        <v>311</v>
      </c>
      <c r="D10" s="157">
        <v>3864</v>
      </c>
      <c r="E10" s="36"/>
      <c r="F10" s="148"/>
      <c r="G10" s="36"/>
      <c r="H10" s="136"/>
      <c r="I10" s="34"/>
      <c r="J10" s="36">
        <v>100</v>
      </c>
      <c r="K10" s="36"/>
      <c r="L10" s="36"/>
      <c r="M10" s="36"/>
      <c r="N10" s="36"/>
      <c r="O10" s="36"/>
      <c r="P10" s="36"/>
      <c r="Q10" s="36"/>
      <c r="R10" s="34"/>
      <c r="S10" s="34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79"/>
      <c r="AI10" s="506">
        <f t="shared" si="0"/>
        <v>100</v>
      </c>
      <c r="AJ10" s="14">
        <f t="shared" si="1"/>
        <v>3864</v>
      </c>
    </row>
    <row r="11" spans="1:36" ht="12">
      <c r="A11" s="392">
        <v>6</v>
      </c>
      <c r="B11" s="33">
        <v>42461</v>
      </c>
      <c r="C11" s="56" t="s">
        <v>312</v>
      </c>
      <c r="D11" s="157">
        <v>3886</v>
      </c>
      <c r="E11" s="36"/>
      <c r="F11" s="148"/>
      <c r="G11" s="36"/>
      <c r="H11" s="136"/>
      <c r="I11" s="34"/>
      <c r="J11" s="36">
        <v>54</v>
      </c>
      <c r="K11" s="36"/>
      <c r="L11" s="36"/>
      <c r="M11" s="36"/>
      <c r="N11" s="36"/>
      <c r="O11" s="36"/>
      <c r="P11" s="36"/>
      <c r="Q11" s="36"/>
      <c r="R11" s="34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79"/>
      <c r="AI11" s="506">
        <f t="shared" si="0"/>
        <v>54</v>
      </c>
      <c r="AJ11" s="14">
        <f t="shared" si="1"/>
        <v>3886</v>
      </c>
    </row>
    <row r="12" spans="1:36" ht="11.25" customHeight="1">
      <c r="A12" s="391">
        <v>7</v>
      </c>
      <c r="B12" s="33">
        <v>42512</v>
      </c>
      <c r="C12" s="56" t="s">
        <v>224</v>
      </c>
      <c r="D12" s="157" t="s">
        <v>253</v>
      </c>
      <c r="E12" s="36"/>
      <c r="F12" s="148"/>
      <c r="G12" s="36"/>
      <c r="H12" s="136"/>
      <c r="I12" s="34"/>
      <c r="J12" s="36">
        <v>123.52</v>
      </c>
      <c r="K12" s="36"/>
      <c r="L12" s="36"/>
      <c r="M12" s="36"/>
      <c r="N12" s="36"/>
      <c r="O12" s="36"/>
      <c r="P12" s="36"/>
      <c r="Q12" s="36"/>
      <c r="R12" s="34"/>
      <c r="S12" s="34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79"/>
      <c r="AI12" s="506">
        <f t="shared" si="0"/>
        <v>123.52</v>
      </c>
      <c r="AJ12" s="14" t="str">
        <f t="shared" si="1"/>
        <v>Bacs</v>
      </c>
    </row>
    <row r="13" spans="1:36" ht="12">
      <c r="A13" s="392">
        <v>8</v>
      </c>
      <c r="B13" s="55">
        <v>42478</v>
      </c>
      <c r="C13" s="56" t="s">
        <v>246</v>
      </c>
      <c r="D13" s="157">
        <v>3888</v>
      </c>
      <c r="E13" s="36"/>
      <c r="F13" s="148"/>
      <c r="G13" s="36"/>
      <c r="H13" s="136"/>
      <c r="I13" s="34">
        <v>278.06</v>
      </c>
      <c r="J13" s="36"/>
      <c r="K13" s="36"/>
      <c r="L13" s="36"/>
      <c r="M13" s="36"/>
      <c r="N13" s="36"/>
      <c r="O13" s="36"/>
      <c r="P13" s="36"/>
      <c r="Q13" s="36"/>
      <c r="R13" s="34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79"/>
      <c r="AI13" s="506">
        <f t="shared" si="0"/>
        <v>278.06</v>
      </c>
      <c r="AJ13" s="14">
        <f t="shared" si="1"/>
        <v>3888</v>
      </c>
    </row>
    <row r="14" spans="1:36" ht="12">
      <c r="A14" s="391">
        <v>9</v>
      </c>
      <c r="B14" s="55">
        <v>42479</v>
      </c>
      <c r="C14" s="56" t="s">
        <v>246</v>
      </c>
      <c r="D14" s="157">
        <v>3889</v>
      </c>
      <c r="E14" s="36"/>
      <c r="F14" s="148"/>
      <c r="G14" s="36"/>
      <c r="H14" s="136"/>
      <c r="I14" s="34">
        <v>36.94</v>
      </c>
      <c r="J14" s="36"/>
      <c r="K14" s="36"/>
      <c r="L14" s="36"/>
      <c r="M14" s="36"/>
      <c r="N14" s="36"/>
      <c r="O14" s="36"/>
      <c r="P14" s="36"/>
      <c r="Q14" s="36"/>
      <c r="R14" s="34"/>
      <c r="S14" s="34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79"/>
      <c r="AI14" s="506">
        <f t="shared" si="0"/>
        <v>36.94</v>
      </c>
      <c r="AJ14" s="14">
        <f t="shared" si="1"/>
        <v>3889</v>
      </c>
    </row>
    <row r="15" spans="1:36" ht="12">
      <c r="A15" s="392">
        <v>10</v>
      </c>
      <c r="B15" s="55">
        <v>42466</v>
      </c>
      <c r="C15" s="56" t="s">
        <v>242</v>
      </c>
      <c r="D15" s="157">
        <v>3880</v>
      </c>
      <c r="E15" s="36"/>
      <c r="F15" s="148">
        <v>2125</v>
      </c>
      <c r="G15" s="36"/>
      <c r="H15" s="136"/>
      <c r="I15" s="34"/>
      <c r="J15" s="36"/>
      <c r="K15" s="36"/>
      <c r="L15" s="36"/>
      <c r="M15" s="36"/>
      <c r="N15" s="36"/>
      <c r="O15" s="36"/>
      <c r="P15" s="36"/>
      <c r="Q15" s="36"/>
      <c r="R15" s="34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79"/>
      <c r="AI15" s="506">
        <f t="shared" si="0"/>
        <v>2125</v>
      </c>
      <c r="AJ15" s="14">
        <f t="shared" si="1"/>
        <v>3880</v>
      </c>
    </row>
    <row r="16" spans="1:36" ht="12">
      <c r="A16" s="391">
        <v>11</v>
      </c>
      <c r="B16" s="55">
        <v>42465</v>
      </c>
      <c r="C16" s="56" t="s">
        <v>313</v>
      </c>
      <c r="D16" s="157" t="s">
        <v>253</v>
      </c>
      <c r="E16" s="36"/>
      <c r="F16" s="148"/>
      <c r="G16" s="36"/>
      <c r="H16" s="136"/>
      <c r="I16" s="34"/>
      <c r="J16" s="36"/>
      <c r="K16" s="36"/>
      <c r="L16" s="36"/>
      <c r="M16" s="36"/>
      <c r="N16" s="36"/>
      <c r="O16" s="36"/>
      <c r="P16" s="36"/>
      <c r="Q16" s="36"/>
      <c r="R16" s="34"/>
      <c r="S16" s="34"/>
      <c r="T16" s="36"/>
      <c r="U16" s="36"/>
      <c r="V16" s="36"/>
      <c r="W16" s="36"/>
      <c r="X16" s="36"/>
      <c r="Y16" s="36">
        <v>225.6</v>
      </c>
      <c r="Z16" s="36"/>
      <c r="AA16" s="36"/>
      <c r="AB16" s="36"/>
      <c r="AC16" s="36"/>
      <c r="AD16" s="36"/>
      <c r="AE16" s="36"/>
      <c r="AF16" s="36"/>
      <c r="AG16" s="36"/>
      <c r="AH16" s="79"/>
      <c r="AI16" s="506">
        <f t="shared" si="0"/>
        <v>225.6</v>
      </c>
      <c r="AJ16" s="14" t="str">
        <f t="shared" si="1"/>
        <v>Bacs</v>
      </c>
    </row>
    <row r="17" spans="1:36" ht="12">
      <c r="A17" s="392">
        <v>12</v>
      </c>
      <c r="B17" s="33">
        <v>42499</v>
      </c>
      <c r="C17" s="56" t="s">
        <v>223</v>
      </c>
      <c r="D17" s="157" t="s">
        <v>222</v>
      </c>
      <c r="E17" s="36"/>
      <c r="F17" s="148"/>
      <c r="G17" s="36">
        <v>108.12</v>
      </c>
      <c r="H17" s="136"/>
      <c r="I17" s="34"/>
      <c r="J17" s="36"/>
      <c r="K17" s="36"/>
      <c r="L17" s="36"/>
      <c r="M17" s="36"/>
      <c r="N17" s="36"/>
      <c r="O17" s="36"/>
      <c r="P17" s="36"/>
      <c r="Q17" s="36"/>
      <c r="R17" s="34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79"/>
      <c r="AI17" s="506">
        <f t="shared" si="0"/>
        <v>108.12</v>
      </c>
      <c r="AJ17" s="14" t="str">
        <f t="shared" si="1"/>
        <v>DD</v>
      </c>
    </row>
    <row r="18" spans="1:36" ht="12">
      <c r="A18" s="391">
        <v>13</v>
      </c>
      <c r="B18" s="33">
        <v>42513</v>
      </c>
      <c r="C18" s="27" t="s">
        <v>314</v>
      </c>
      <c r="D18" s="157" t="s">
        <v>253</v>
      </c>
      <c r="E18" s="36"/>
      <c r="F18" s="148"/>
      <c r="G18" s="36"/>
      <c r="H18" s="136"/>
      <c r="I18" s="34"/>
      <c r="J18" s="36"/>
      <c r="K18" s="36"/>
      <c r="L18" s="36"/>
      <c r="M18" s="36"/>
      <c r="N18" s="36"/>
      <c r="O18" s="36"/>
      <c r="P18" s="36"/>
      <c r="Q18" s="36"/>
      <c r="R18" s="34"/>
      <c r="S18" s="34"/>
      <c r="T18" s="36"/>
      <c r="U18" s="36"/>
      <c r="V18" s="36"/>
      <c r="W18" s="36"/>
      <c r="X18" s="36"/>
      <c r="Y18" s="36">
        <v>1101.36</v>
      </c>
      <c r="Z18" s="36"/>
      <c r="AA18" s="36"/>
      <c r="AB18" s="36"/>
      <c r="AC18" s="36"/>
      <c r="AD18" s="36"/>
      <c r="AE18" s="36"/>
      <c r="AF18" s="36"/>
      <c r="AG18" s="36"/>
      <c r="AH18" s="79"/>
      <c r="AI18" s="289">
        <f t="shared" si="0"/>
        <v>1101.36</v>
      </c>
      <c r="AJ18" s="535" t="str">
        <f t="shared" si="1"/>
        <v>Bacs</v>
      </c>
    </row>
    <row r="19" spans="1:36" ht="12">
      <c r="A19" s="392">
        <v>14</v>
      </c>
      <c r="B19" s="55">
        <v>42528</v>
      </c>
      <c r="C19" s="56" t="s">
        <v>318</v>
      </c>
      <c r="D19" s="157" t="s">
        <v>253</v>
      </c>
      <c r="E19" s="36"/>
      <c r="F19" s="148"/>
      <c r="G19" s="36">
        <v>800</v>
      </c>
      <c r="H19" s="136"/>
      <c r="I19" s="34"/>
      <c r="J19" s="36"/>
      <c r="K19" s="36"/>
      <c r="L19" s="36"/>
      <c r="M19" s="36"/>
      <c r="N19" s="36"/>
      <c r="O19" s="36"/>
      <c r="P19" s="36"/>
      <c r="Q19" s="36"/>
      <c r="R19" s="34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79"/>
      <c r="AI19" s="506">
        <f t="shared" si="0"/>
        <v>800</v>
      </c>
      <c r="AJ19" s="14" t="str">
        <f t="shared" si="1"/>
        <v>Bacs</v>
      </c>
    </row>
    <row r="20" spans="1:36" ht="12">
      <c r="A20" s="391">
        <v>15</v>
      </c>
      <c r="B20" s="55">
        <v>42527</v>
      </c>
      <c r="C20" s="56" t="s">
        <v>319</v>
      </c>
      <c r="D20" s="157" t="s">
        <v>222</v>
      </c>
      <c r="E20" s="36"/>
      <c r="F20" s="148"/>
      <c r="G20" s="36"/>
      <c r="H20" s="136"/>
      <c r="I20" s="34"/>
      <c r="J20" s="36">
        <v>31.19</v>
      </c>
      <c r="K20" s="36"/>
      <c r="L20" s="36"/>
      <c r="M20" s="36"/>
      <c r="N20" s="36"/>
      <c r="O20" s="36"/>
      <c r="P20" s="36"/>
      <c r="Q20" s="36"/>
      <c r="R20" s="34"/>
      <c r="S20" s="34"/>
      <c r="T20" s="36">
        <f>1233.99-31.19</f>
        <v>1202.8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79"/>
      <c r="AI20" s="506">
        <f t="shared" si="0"/>
        <v>1233.99</v>
      </c>
      <c r="AJ20" s="14" t="str">
        <f t="shared" si="1"/>
        <v>DD</v>
      </c>
    </row>
    <row r="21" spans="1:36" ht="12">
      <c r="A21" s="392">
        <v>16</v>
      </c>
      <c r="B21" s="55">
        <v>42543</v>
      </c>
      <c r="C21" s="56" t="s">
        <v>322</v>
      </c>
      <c r="D21" s="157" t="s">
        <v>253</v>
      </c>
      <c r="E21" s="36"/>
      <c r="F21" s="148"/>
      <c r="G21" s="36"/>
      <c r="H21" s="136"/>
      <c r="I21" s="34"/>
      <c r="J21" s="36"/>
      <c r="K21" s="36"/>
      <c r="L21" s="36"/>
      <c r="M21" s="36">
        <v>1940.57</v>
      </c>
      <c r="N21" s="36"/>
      <c r="O21" s="36"/>
      <c r="P21" s="36"/>
      <c r="Q21" s="36"/>
      <c r="R21" s="34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79"/>
      <c r="AI21" s="506">
        <f t="shared" si="0"/>
        <v>1940.57</v>
      </c>
      <c r="AJ21" s="14" t="str">
        <f t="shared" si="1"/>
        <v>Bacs</v>
      </c>
    </row>
    <row r="22" spans="1:36" ht="12">
      <c r="A22" s="391">
        <v>17</v>
      </c>
      <c r="B22" s="55">
        <v>42543</v>
      </c>
      <c r="C22" s="56" t="s">
        <v>200</v>
      </c>
      <c r="D22" s="157" t="s">
        <v>253</v>
      </c>
      <c r="E22" s="36"/>
      <c r="F22" s="148"/>
      <c r="G22" s="36"/>
      <c r="H22" s="136"/>
      <c r="I22" s="34"/>
      <c r="J22" s="36"/>
      <c r="K22" s="36"/>
      <c r="L22" s="36"/>
      <c r="M22" s="36"/>
      <c r="N22" s="36"/>
      <c r="O22" s="36"/>
      <c r="P22" s="36"/>
      <c r="Q22" s="36"/>
      <c r="R22" s="34"/>
      <c r="S22" s="34"/>
      <c r="T22" s="479">
        <v>2880.36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79"/>
      <c r="AI22" s="289">
        <f t="shared" si="0"/>
        <v>2880.36</v>
      </c>
      <c r="AJ22" s="535" t="str">
        <f t="shared" si="1"/>
        <v>Bacs</v>
      </c>
    </row>
    <row r="23" spans="1:36" ht="12">
      <c r="A23" s="392">
        <v>18</v>
      </c>
      <c r="B23" s="33">
        <v>42543</v>
      </c>
      <c r="C23" s="27" t="s">
        <v>246</v>
      </c>
      <c r="D23" s="157" t="s">
        <v>253</v>
      </c>
      <c r="E23" s="36"/>
      <c r="F23" s="148"/>
      <c r="G23" s="36"/>
      <c r="H23" s="136"/>
      <c r="I23" s="34">
        <v>46.12</v>
      </c>
      <c r="J23" s="36"/>
      <c r="K23" s="36"/>
      <c r="L23" s="36"/>
      <c r="M23" s="36"/>
      <c r="N23" s="36"/>
      <c r="O23" s="36"/>
      <c r="P23" s="36"/>
      <c r="Q23" s="36"/>
      <c r="R23" s="34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79"/>
      <c r="AI23" s="506">
        <f t="shared" si="0"/>
        <v>46.12</v>
      </c>
      <c r="AJ23" s="14" t="str">
        <f t="shared" si="1"/>
        <v>Bacs</v>
      </c>
    </row>
    <row r="24" spans="1:36" ht="12">
      <c r="A24" s="391">
        <v>19</v>
      </c>
      <c r="B24" s="33">
        <v>42543</v>
      </c>
      <c r="C24" s="27" t="s">
        <v>324</v>
      </c>
      <c r="D24" s="157" t="s">
        <v>253</v>
      </c>
      <c r="E24" s="36">
        <v>6528.92</v>
      </c>
      <c r="F24" s="148"/>
      <c r="G24" s="36"/>
      <c r="H24" s="136"/>
      <c r="I24" s="34"/>
      <c r="J24" s="36"/>
      <c r="K24" s="36"/>
      <c r="L24" s="36"/>
      <c r="M24" s="36"/>
      <c r="N24" s="36"/>
      <c r="O24" s="36"/>
      <c r="P24" s="36"/>
      <c r="Q24" s="36"/>
      <c r="R24" s="34"/>
      <c r="S24" s="3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79"/>
      <c r="AI24" s="506">
        <f t="shared" si="0"/>
        <v>6528.92</v>
      </c>
      <c r="AJ24" s="14" t="str">
        <f t="shared" si="1"/>
        <v>Bacs</v>
      </c>
    </row>
    <row r="25" spans="1:36" ht="12">
      <c r="A25" s="392">
        <v>20</v>
      </c>
      <c r="B25" s="33">
        <v>42543</v>
      </c>
      <c r="C25" s="27" t="s">
        <v>224</v>
      </c>
      <c r="D25" s="157" t="s">
        <v>253</v>
      </c>
      <c r="E25" s="36"/>
      <c r="F25" s="148"/>
      <c r="G25" s="36"/>
      <c r="H25" s="136"/>
      <c r="I25" s="34">
        <v>84.31</v>
      </c>
      <c r="J25" s="36"/>
      <c r="K25" s="36"/>
      <c r="L25" s="36"/>
      <c r="M25" s="36"/>
      <c r="N25" s="36"/>
      <c r="O25" s="36"/>
      <c r="P25" s="36"/>
      <c r="Q25" s="36"/>
      <c r="R25" s="34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9"/>
      <c r="AI25" s="506">
        <f t="shared" si="0"/>
        <v>84.31</v>
      </c>
      <c r="AJ25" s="14" t="str">
        <f t="shared" si="1"/>
        <v>Bacs</v>
      </c>
    </row>
    <row r="26" spans="1:36" ht="12">
      <c r="A26" s="391">
        <v>21</v>
      </c>
      <c r="B26" s="33">
        <v>42543</v>
      </c>
      <c r="C26" s="27" t="s">
        <v>224</v>
      </c>
      <c r="D26" s="157" t="s">
        <v>253</v>
      </c>
      <c r="E26" s="36"/>
      <c r="F26" s="148"/>
      <c r="G26" s="36"/>
      <c r="H26" s="136"/>
      <c r="I26" s="34">
        <v>100.76</v>
      </c>
      <c r="J26" s="36"/>
      <c r="K26" s="36"/>
      <c r="L26" s="36"/>
      <c r="M26" s="36"/>
      <c r="N26" s="36"/>
      <c r="O26" s="36"/>
      <c r="P26" s="36"/>
      <c r="Q26" s="36"/>
      <c r="R26" s="34"/>
      <c r="S26" s="34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79"/>
      <c r="AI26" s="506">
        <f t="shared" si="0"/>
        <v>100.76</v>
      </c>
      <c r="AJ26" s="14" t="str">
        <f t="shared" si="1"/>
        <v>Bacs</v>
      </c>
    </row>
    <row r="27" spans="1:36" ht="12">
      <c r="A27" s="391">
        <v>23</v>
      </c>
      <c r="B27" s="55">
        <v>42461</v>
      </c>
      <c r="C27" s="56" t="s">
        <v>325</v>
      </c>
      <c r="D27" s="294" t="s">
        <v>222</v>
      </c>
      <c r="E27" s="36"/>
      <c r="F27" s="148"/>
      <c r="G27" s="36">
        <v>100</v>
      </c>
      <c r="H27" s="136"/>
      <c r="I27" s="34"/>
      <c r="J27" s="36"/>
      <c r="K27" s="36"/>
      <c r="L27" s="36"/>
      <c r="M27" s="36"/>
      <c r="N27" s="36"/>
      <c r="O27" s="36"/>
      <c r="P27" s="36"/>
      <c r="Q27" s="36"/>
      <c r="R27" s="34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79"/>
      <c r="AI27" s="506">
        <f t="shared" si="0"/>
        <v>100</v>
      </c>
      <c r="AJ27" s="14" t="str">
        <f t="shared" si="1"/>
        <v>DD</v>
      </c>
    </row>
    <row r="28" spans="1:36" ht="12">
      <c r="A28" s="392">
        <v>24</v>
      </c>
      <c r="B28" s="55">
        <v>42465</v>
      </c>
      <c r="C28" s="56" t="s">
        <v>326</v>
      </c>
      <c r="D28" s="157" t="s">
        <v>222</v>
      </c>
      <c r="E28" s="36"/>
      <c r="F28" s="148">
        <v>72.59</v>
      </c>
      <c r="G28" s="36"/>
      <c r="H28" s="136"/>
      <c r="I28" s="34"/>
      <c r="J28" s="36"/>
      <c r="K28" s="36"/>
      <c r="L28" s="36"/>
      <c r="M28" s="36"/>
      <c r="N28" s="36"/>
      <c r="O28" s="36"/>
      <c r="P28" s="36"/>
      <c r="Q28" s="36"/>
      <c r="R28" s="34"/>
      <c r="S28" s="3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79"/>
      <c r="AI28" s="506">
        <f t="shared" si="0"/>
        <v>72.59</v>
      </c>
      <c r="AJ28" s="14" t="str">
        <f t="shared" si="1"/>
        <v>DD</v>
      </c>
    </row>
    <row r="29" spans="1:36" ht="12">
      <c r="A29" s="391">
        <v>25</v>
      </c>
      <c r="B29" s="55">
        <v>42495</v>
      </c>
      <c r="C29" s="56" t="s">
        <v>326</v>
      </c>
      <c r="D29" s="347" t="s">
        <v>222</v>
      </c>
      <c r="E29" s="36"/>
      <c r="F29" s="148">
        <v>77</v>
      </c>
      <c r="G29" s="36"/>
      <c r="H29" s="136"/>
      <c r="I29" s="34"/>
      <c r="J29" s="36"/>
      <c r="K29" s="36"/>
      <c r="L29" s="36"/>
      <c r="M29" s="36"/>
      <c r="N29" s="36"/>
      <c r="O29" s="36"/>
      <c r="P29" s="36"/>
      <c r="Q29" s="36"/>
      <c r="R29" s="34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79"/>
      <c r="AI29" s="506">
        <f t="shared" si="0"/>
        <v>77</v>
      </c>
      <c r="AJ29" s="14" t="str">
        <f t="shared" si="1"/>
        <v>DD</v>
      </c>
    </row>
    <row r="30" spans="1:36" ht="12">
      <c r="A30" s="392">
        <v>26</v>
      </c>
      <c r="B30" s="33">
        <v>42521</v>
      </c>
      <c r="C30" s="56" t="s">
        <v>56</v>
      </c>
      <c r="D30" s="347" t="s">
        <v>222</v>
      </c>
      <c r="E30" s="36"/>
      <c r="F30" s="148"/>
      <c r="G30" s="36"/>
      <c r="H30" s="136"/>
      <c r="I30" s="34"/>
      <c r="J30" s="36"/>
      <c r="K30" s="36"/>
      <c r="L30" s="36"/>
      <c r="M30" s="36"/>
      <c r="N30" s="36"/>
      <c r="O30" s="36"/>
      <c r="P30" s="36">
        <v>18.13</v>
      </c>
      <c r="Q30" s="36"/>
      <c r="R30" s="34"/>
      <c r="S30" s="34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79"/>
      <c r="AI30" s="506">
        <f t="shared" si="0"/>
        <v>18.13</v>
      </c>
      <c r="AJ30" s="14" t="str">
        <f t="shared" si="1"/>
        <v>DD</v>
      </c>
    </row>
    <row r="31" spans="1:36" ht="12">
      <c r="A31" s="391">
        <v>27</v>
      </c>
      <c r="B31" s="33">
        <v>42526</v>
      </c>
      <c r="C31" s="56" t="s">
        <v>326</v>
      </c>
      <c r="D31" s="157" t="s">
        <v>222</v>
      </c>
      <c r="E31" s="36"/>
      <c r="F31" s="148">
        <v>77</v>
      </c>
      <c r="G31" s="36"/>
      <c r="H31" s="136"/>
      <c r="I31" s="34"/>
      <c r="J31" s="36"/>
      <c r="K31" s="36"/>
      <c r="L31" s="36"/>
      <c r="M31" s="36"/>
      <c r="N31" s="36"/>
      <c r="O31" s="36"/>
      <c r="P31" s="36"/>
      <c r="Q31" s="36"/>
      <c r="R31" s="34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79"/>
      <c r="AI31" s="506">
        <f t="shared" si="0"/>
        <v>77</v>
      </c>
      <c r="AJ31" s="14" t="str">
        <f t="shared" si="1"/>
        <v>DD</v>
      </c>
    </row>
    <row r="32" spans="1:36" ht="12">
      <c r="A32" s="392">
        <v>30</v>
      </c>
      <c r="B32" s="55">
        <v>42585</v>
      </c>
      <c r="C32" s="56" t="s">
        <v>331</v>
      </c>
      <c r="D32" s="157" t="s">
        <v>253</v>
      </c>
      <c r="E32" s="36"/>
      <c r="F32" s="148"/>
      <c r="G32" s="36">
        <v>800</v>
      </c>
      <c r="H32" s="136"/>
      <c r="I32" s="34"/>
      <c r="J32" s="36"/>
      <c r="K32" s="36"/>
      <c r="L32" s="36"/>
      <c r="M32" s="36"/>
      <c r="N32" s="36"/>
      <c r="O32" s="36"/>
      <c r="P32" s="36"/>
      <c r="Q32" s="36"/>
      <c r="R32" s="34"/>
      <c r="S32" s="34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79"/>
      <c r="AI32" s="506">
        <f t="shared" si="0"/>
        <v>800</v>
      </c>
      <c r="AJ32" s="14" t="str">
        <f t="shared" si="1"/>
        <v>Bacs</v>
      </c>
    </row>
    <row r="33" spans="1:36" ht="12">
      <c r="A33" s="391">
        <v>31</v>
      </c>
      <c r="B33" s="55">
        <v>42585</v>
      </c>
      <c r="C33" s="56" t="s">
        <v>332</v>
      </c>
      <c r="D33" s="157" t="s">
        <v>253</v>
      </c>
      <c r="E33" s="36">
        <v>3083.88</v>
      </c>
      <c r="F33" s="148"/>
      <c r="G33" s="36"/>
      <c r="H33" s="136"/>
      <c r="I33" s="34"/>
      <c r="J33" s="36"/>
      <c r="K33" s="36"/>
      <c r="L33" s="36"/>
      <c r="M33" s="36"/>
      <c r="N33" s="36"/>
      <c r="O33" s="36"/>
      <c r="P33" s="36"/>
      <c r="Q33" s="36"/>
      <c r="R33" s="34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79"/>
      <c r="AI33" s="506">
        <f t="shared" si="0"/>
        <v>3083.88</v>
      </c>
      <c r="AJ33" s="14" t="str">
        <f t="shared" si="1"/>
        <v>Bacs</v>
      </c>
    </row>
    <row r="34" spans="1:37" ht="12">
      <c r="A34" s="392">
        <v>32</v>
      </c>
      <c r="B34" s="33">
        <v>42556</v>
      </c>
      <c r="C34" s="56" t="s">
        <v>246</v>
      </c>
      <c r="D34" s="157" t="s">
        <v>253</v>
      </c>
      <c r="E34" s="36"/>
      <c r="F34" s="148"/>
      <c r="G34" s="36"/>
      <c r="H34" s="136"/>
      <c r="I34" s="34">
        <v>49.68</v>
      </c>
      <c r="J34" s="36"/>
      <c r="K34" s="36"/>
      <c r="L34" s="36"/>
      <c r="M34" s="36"/>
      <c r="N34" s="36"/>
      <c r="O34" s="36"/>
      <c r="P34" s="36"/>
      <c r="Q34" s="36"/>
      <c r="R34" s="34"/>
      <c r="S34" s="34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79"/>
      <c r="AI34" s="506">
        <f t="shared" si="0"/>
        <v>49.68</v>
      </c>
      <c r="AJ34" s="14" t="str">
        <f t="shared" si="1"/>
        <v>Bacs</v>
      </c>
      <c r="AK34" s="7" t="s">
        <v>572</v>
      </c>
    </row>
    <row r="35" spans="1:36" ht="12">
      <c r="A35" s="391">
        <v>35</v>
      </c>
      <c r="B35" s="55">
        <v>42556</v>
      </c>
      <c r="C35" s="56" t="s">
        <v>334</v>
      </c>
      <c r="D35" s="157" t="s">
        <v>253</v>
      </c>
      <c r="E35" s="36"/>
      <c r="F35" s="148"/>
      <c r="G35" s="36"/>
      <c r="H35" s="136"/>
      <c r="I35" s="34"/>
      <c r="J35" s="36">
        <v>400</v>
      </c>
      <c r="K35" s="36"/>
      <c r="L35" s="36"/>
      <c r="M35" s="36"/>
      <c r="N35" s="36"/>
      <c r="O35" s="36"/>
      <c r="P35" s="36"/>
      <c r="Q35" s="36"/>
      <c r="R35" s="34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79"/>
      <c r="AI35" s="506">
        <f t="shared" si="0"/>
        <v>400</v>
      </c>
      <c r="AJ35" s="14" t="str">
        <f t="shared" si="1"/>
        <v>Bacs</v>
      </c>
    </row>
    <row r="36" spans="1:36" ht="12">
      <c r="A36" s="392">
        <v>36</v>
      </c>
      <c r="B36" s="55">
        <v>42550</v>
      </c>
      <c r="C36" s="56" t="s">
        <v>329</v>
      </c>
      <c r="D36" s="157" t="s">
        <v>253</v>
      </c>
      <c r="E36" s="36"/>
      <c r="F36" s="148"/>
      <c r="G36" s="36"/>
      <c r="H36" s="136"/>
      <c r="I36" s="34"/>
      <c r="J36" s="36"/>
      <c r="K36" s="36"/>
      <c r="L36" s="36"/>
      <c r="M36" s="36"/>
      <c r="N36" s="36"/>
      <c r="O36" s="36"/>
      <c r="P36" s="36"/>
      <c r="Q36" s="36"/>
      <c r="R36" s="34"/>
      <c r="S36" s="34">
        <v>755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79"/>
      <c r="AI36" s="506">
        <f t="shared" si="0"/>
        <v>755</v>
      </c>
      <c r="AJ36" s="14" t="str">
        <f t="shared" si="1"/>
        <v>Bacs</v>
      </c>
    </row>
    <row r="37" spans="1:37" ht="12">
      <c r="A37" s="391">
        <v>37</v>
      </c>
      <c r="B37" s="55">
        <v>42551</v>
      </c>
      <c r="C37" s="56" t="s">
        <v>335</v>
      </c>
      <c r="D37" s="157" t="s">
        <v>253</v>
      </c>
      <c r="E37" s="36">
        <v>3482.86</v>
      </c>
      <c r="F37" s="148"/>
      <c r="G37" s="36"/>
      <c r="H37" s="136"/>
      <c r="I37" s="34"/>
      <c r="J37" s="36"/>
      <c r="K37" s="36"/>
      <c r="L37" s="36"/>
      <c r="M37" s="36"/>
      <c r="N37" s="36"/>
      <c r="O37" s="36"/>
      <c r="P37" s="36"/>
      <c r="Q37" s="36"/>
      <c r="R37" s="34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79"/>
      <c r="AI37" s="506">
        <f t="shared" si="0"/>
        <v>3482.86</v>
      </c>
      <c r="AJ37" s="14" t="str">
        <f t="shared" si="1"/>
        <v>Bacs</v>
      </c>
      <c r="AK37" s="7" t="s">
        <v>336</v>
      </c>
    </row>
    <row r="38" spans="1:36" ht="12">
      <c r="A38" s="392">
        <v>38</v>
      </c>
      <c r="B38" s="33">
        <v>42556</v>
      </c>
      <c r="C38" s="27" t="s">
        <v>337</v>
      </c>
      <c r="D38" s="393" t="s">
        <v>253</v>
      </c>
      <c r="E38" s="36"/>
      <c r="F38" s="148"/>
      <c r="G38" s="36"/>
      <c r="H38" s="136"/>
      <c r="I38" s="34"/>
      <c r="J38" s="36"/>
      <c r="K38" s="36"/>
      <c r="L38" s="36"/>
      <c r="M38" s="36"/>
      <c r="N38" s="36"/>
      <c r="O38" s="36"/>
      <c r="P38" s="36"/>
      <c r="Q38" s="36"/>
      <c r="R38" s="34"/>
      <c r="S38" s="34"/>
      <c r="T38" s="479">
        <v>10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79"/>
      <c r="AI38" s="506">
        <f t="shared" si="0"/>
        <v>10</v>
      </c>
      <c r="AJ38" s="14" t="str">
        <f t="shared" si="1"/>
        <v>Bacs</v>
      </c>
    </row>
    <row r="39" spans="1:36" ht="12">
      <c r="A39" s="391">
        <v>39</v>
      </c>
      <c r="B39" s="33">
        <v>42558</v>
      </c>
      <c r="C39" s="56" t="s">
        <v>338</v>
      </c>
      <c r="D39" s="157">
        <v>3892</v>
      </c>
      <c r="E39" s="36"/>
      <c r="F39" s="148"/>
      <c r="G39" s="36"/>
      <c r="H39" s="136"/>
      <c r="I39" s="34"/>
      <c r="J39" s="36">
        <v>59</v>
      </c>
      <c r="K39" s="36"/>
      <c r="L39" s="36"/>
      <c r="M39" s="36"/>
      <c r="N39" s="36"/>
      <c r="O39" s="36"/>
      <c r="P39" s="36"/>
      <c r="Q39" s="36"/>
      <c r="R39" s="34"/>
      <c r="S39" s="34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79"/>
      <c r="AI39" s="506">
        <f t="shared" si="0"/>
        <v>59</v>
      </c>
      <c r="AJ39" s="14">
        <f t="shared" si="1"/>
        <v>3892</v>
      </c>
    </row>
    <row r="40" spans="1:36" ht="12">
      <c r="A40" s="392">
        <v>40</v>
      </c>
      <c r="B40" s="472">
        <v>42585</v>
      </c>
      <c r="C40" s="56" t="s">
        <v>249</v>
      </c>
      <c r="D40" s="157" t="s">
        <v>253</v>
      </c>
      <c r="E40" s="36"/>
      <c r="F40" s="148"/>
      <c r="G40" s="36"/>
      <c r="H40" s="136"/>
      <c r="I40" s="34"/>
      <c r="J40" s="36"/>
      <c r="K40" s="36"/>
      <c r="L40" s="36"/>
      <c r="M40" s="36"/>
      <c r="N40" s="36"/>
      <c r="O40" s="36"/>
      <c r="P40" s="36"/>
      <c r="Q40" s="36"/>
      <c r="R40" s="34"/>
      <c r="S40" s="34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>
        <v>158.58</v>
      </c>
      <c r="AG40" s="36"/>
      <c r="AH40" s="79"/>
      <c r="AI40" s="506">
        <f t="shared" si="0"/>
        <v>158.58</v>
      </c>
      <c r="AJ40" s="14" t="str">
        <f t="shared" si="1"/>
        <v>Bacs</v>
      </c>
    </row>
    <row r="41" spans="1:36" ht="12">
      <c r="A41" s="391">
        <v>41</v>
      </c>
      <c r="B41" s="33">
        <v>42584</v>
      </c>
      <c r="C41" s="56" t="s">
        <v>339</v>
      </c>
      <c r="D41" s="157">
        <v>3893</v>
      </c>
      <c r="E41" s="36"/>
      <c r="F41" s="148"/>
      <c r="G41" s="36"/>
      <c r="H41" s="136"/>
      <c r="I41" s="34"/>
      <c r="J41" s="36"/>
      <c r="K41" s="36"/>
      <c r="L41" s="36"/>
      <c r="M41" s="36"/>
      <c r="N41" s="36"/>
      <c r="O41" s="36"/>
      <c r="P41" s="36"/>
      <c r="Q41" s="36"/>
      <c r="R41" s="34"/>
      <c r="S41" s="34"/>
      <c r="T41" s="479">
        <v>200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79"/>
      <c r="AI41" s="506">
        <f t="shared" si="0"/>
        <v>200</v>
      </c>
      <c r="AJ41" s="14">
        <f t="shared" si="1"/>
        <v>3893</v>
      </c>
    </row>
    <row r="42" spans="1:36" ht="12">
      <c r="A42" s="392">
        <v>42</v>
      </c>
      <c r="B42" s="33">
        <v>42584</v>
      </c>
      <c r="C42" s="56" t="s">
        <v>242</v>
      </c>
      <c r="D42" s="157">
        <v>3881</v>
      </c>
      <c r="E42" s="36"/>
      <c r="F42" s="148">
        <v>2125</v>
      </c>
      <c r="G42" s="36"/>
      <c r="H42" s="136"/>
      <c r="I42" s="34"/>
      <c r="J42" s="36"/>
      <c r="K42" s="36"/>
      <c r="L42" s="36"/>
      <c r="M42" s="36"/>
      <c r="N42" s="36"/>
      <c r="O42" s="36"/>
      <c r="P42" s="36"/>
      <c r="Q42" s="36"/>
      <c r="R42" s="34"/>
      <c r="S42" s="34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79"/>
      <c r="AI42" s="506">
        <f t="shared" si="0"/>
        <v>2125</v>
      </c>
      <c r="AJ42" s="14">
        <f t="shared" si="1"/>
        <v>3881</v>
      </c>
    </row>
    <row r="43" spans="1:36" ht="12">
      <c r="A43" s="391">
        <v>43</v>
      </c>
      <c r="B43" s="33">
        <v>42584</v>
      </c>
      <c r="C43" s="27" t="s">
        <v>225</v>
      </c>
      <c r="D43" s="157">
        <v>3895</v>
      </c>
      <c r="E43" s="36"/>
      <c r="F43" s="148"/>
      <c r="G43" s="36"/>
      <c r="H43" s="136"/>
      <c r="I43" s="34"/>
      <c r="J43" s="36"/>
      <c r="K43" s="36"/>
      <c r="L43" s="36"/>
      <c r="M43" s="36"/>
      <c r="N43" s="36"/>
      <c r="O43" s="36"/>
      <c r="P43" s="36"/>
      <c r="Q43" s="36"/>
      <c r="R43" s="34"/>
      <c r="S43" s="34"/>
      <c r="T43" s="479">
        <v>270.91</v>
      </c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9"/>
      <c r="AI43" s="506">
        <f t="shared" si="0"/>
        <v>270.91</v>
      </c>
      <c r="AJ43" s="14">
        <f t="shared" si="1"/>
        <v>3895</v>
      </c>
    </row>
    <row r="44" spans="1:36" ht="12">
      <c r="A44" s="392">
        <v>44</v>
      </c>
      <c r="B44" s="33">
        <v>42584</v>
      </c>
      <c r="C44" s="27" t="s">
        <v>225</v>
      </c>
      <c r="D44" s="157">
        <v>3894</v>
      </c>
      <c r="E44" s="36"/>
      <c r="F44" s="148"/>
      <c r="G44" s="36"/>
      <c r="H44" s="136"/>
      <c r="I44" s="34"/>
      <c r="J44" s="36"/>
      <c r="K44" s="36"/>
      <c r="L44" s="36"/>
      <c r="M44" s="36"/>
      <c r="N44" s="36"/>
      <c r="O44" s="36"/>
      <c r="P44" s="36"/>
      <c r="Q44" s="36"/>
      <c r="R44" s="34"/>
      <c r="S44" s="34"/>
      <c r="T44" s="36"/>
      <c r="U44" s="36">
        <v>273.02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79"/>
      <c r="AI44" s="506">
        <f t="shared" si="0"/>
        <v>273.02</v>
      </c>
      <c r="AJ44" s="14">
        <f t="shared" si="1"/>
        <v>3894</v>
      </c>
    </row>
    <row r="45" spans="1:36" ht="12">
      <c r="A45" s="391">
        <v>45</v>
      </c>
      <c r="B45" s="33">
        <v>42592</v>
      </c>
      <c r="C45" s="27" t="s">
        <v>340</v>
      </c>
      <c r="D45" s="157">
        <v>3896</v>
      </c>
      <c r="E45" s="36"/>
      <c r="F45" s="148"/>
      <c r="G45" s="36"/>
      <c r="H45" s="136"/>
      <c r="I45" s="34"/>
      <c r="J45" s="36"/>
      <c r="K45" s="36"/>
      <c r="L45" s="36"/>
      <c r="M45" s="36"/>
      <c r="N45" s="36"/>
      <c r="O45" s="36"/>
      <c r="P45" s="36"/>
      <c r="Q45" s="36"/>
      <c r="R45" s="34"/>
      <c r="S45" s="34"/>
      <c r="T45" s="36"/>
      <c r="U45" s="36">
        <v>450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79"/>
      <c r="AI45" s="506">
        <f t="shared" si="0"/>
        <v>450</v>
      </c>
      <c r="AJ45" s="14">
        <f t="shared" si="1"/>
        <v>3896</v>
      </c>
    </row>
    <row r="46" spans="1:36" ht="12">
      <c r="A46" s="392">
        <v>46</v>
      </c>
      <c r="B46" s="33">
        <v>42584</v>
      </c>
      <c r="C46" s="27" t="s">
        <v>342</v>
      </c>
      <c r="D46" s="157">
        <v>3866</v>
      </c>
      <c r="E46" s="36"/>
      <c r="F46" s="148"/>
      <c r="G46" s="36"/>
      <c r="H46" s="136"/>
      <c r="I46" s="34"/>
      <c r="J46" s="36"/>
      <c r="K46" s="36"/>
      <c r="L46" s="36"/>
      <c r="M46" s="36"/>
      <c r="N46" s="36"/>
      <c r="O46" s="36"/>
      <c r="P46" s="36"/>
      <c r="Q46" s="36"/>
      <c r="R46" s="34"/>
      <c r="S46" s="34"/>
      <c r="T46" s="36"/>
      <c r="U46" s="36">
        <v>2014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79"/>
      <c r="AI46" s="506">
        <f t="shared" si="0"/>
        <v>2014</v>
      </c>
      <c r="AJ46" s="14">
        <f t="shared" si="1"/>
        <v>3866</v>
      </c>
    </row>
    <row r="47" spans="1:36" ht="12">
      <c r="A47" s="391">
        <v>47</v>
      </c>
      <c r="B47" s="33">
        <v>42612</v>
      </c>
      <c r="C47" s="27" t="s">
        <v>343</v>
      </c>
      <c r="D47" s="157" t="s">
        <v>253</v>
      </c>
      <c r="E47" s="36">
        <v>3263.36</v>
      </c>
      <c r="F47" s="148"/>
      <c r="G47" s="36"/>
      <c r="H47" s="136"/>
      <c r="I47" s="34"/>
      <c r="J47" s="36"/>
      <c r="K47" s="36"/>
      <c r="L47" s="36"/>
      <c r="M47" s="36"/>
      <c r="N47" s="36"/>
      <c r="O47" s="36"/>
      <c r="P47" s="36"/>
      <c r="Q47" s="36"/>
      <c r="R47" s="34"/>
      <c r="S47" s="34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79"/>
      <c r="AI47" s="506">
        <f t="shared" si="0"/>
        <v>3263.36</v>
      </c>
      <c r="AJ47" s="14" t="str">
        <f t="shared" si="1"/>
        <v>Bacs</v>
      </c>
    </row>
    <row r="48" spans="1:36" ht="12">
      <c r="A48" s="392">
        <v>48</v>
      </c>
      <c r="B48" s="33">
        <v>42610</v>
      </c>
      <c r="C48" s="27" t="s">
        <v>249</v>
      </c>
      <c r="D48" s="157" t="s">
        <v>253</v>
      </c>
      <c r="E48" s="36"/>
      <c r="F48" s="148"/>
      <c r="G48" s="36"/>
      <c r="H48" s="136"/>
      <c r="I48" s="34"/>
      <c r="J48" s="36"/>
      <c r="K48" s="36"/>
      <c r="L48" s="36"/>
      <c r="M48" s="36"/>
      <c r="N48" s="36"/>
      <c r="O48" s="36"/>
      <c r="P48" s="36"/>
      <c r="Q48" s="36"/>
      <c r="R48" s="34"/>
      <c r="S48" s="34"/>
      <c r="T48" s="36"/>
      <c r="U48" s="36"/>
      <c r="V48" s="36"/>
      <c r="W48" s="36"/>
      <c r="X48" s="36"/>
      <c r="Y48" s="36">
        <v>14.1</v>
      </c>
      <c r="Z48" s="36"/>
      <c r="AA48" s="36"/>
      <c r="AB48" s="36"/>
      <c r="AC48" s="36"/>
      <c r="AD48" s="36"/>
      <c r="AE48" s="36"/>
      <c r="AF48" s="36"/>
      <c r="AG48" s="36"/>
      <c r="AH48" s="79"/>
      <c r="AI48" s="506">
        <f t="shared" si="0"/>
        <v>14.1</v>
      </c>
      <c r="AJ48" s="14" t="str">
        <f t="shared" si="1"/>
        <v>Bacs</v>
      </c>
    </row>
    <row r="49" spans="1:36" ht="12">
      <c r="A49" s="391">
        <v>49</v>
      </c>
      <c r="B49" s="33">
        <v>42612</v>
      </c>
      <c r="C49" s="27" t="s">
        <v>246</v>
      </c>
      <c r="D49" s="157" t="s">
        <v>253</v>
      </c>
      <c r="E49" s="36"/>
      <c r="F49" s="148"/>
      <c r="G49" s="36"/>
      <c r="H49" s="136"/>
      <c r="I49" s="34">
        <v>63.18</v>
      </c>
      <c r="J49" s="36"/>
      <c r="K49" s="36"/>
      <c r="L49" s="36"/>
      <c r="M49" s="36"/>
      <c r="N49" s="36"/>
      <c r="O49" s="36"/>
      <c r="P49" s="36"/>
      <c r="Q49" s="36"/>
      <c r="R49" s="34"/>
      <c r="S49" s="34"/>
      <c r="T49" s="36"/>
      <c r="U49" s="7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79"/>
      <c r="AI49" s="506">
        <f t="shared" si="0"/>
        <v>63.18</v>
      </c>
      <c r="AJ49" s="14" t="str">
        <f t="shared" si="1"/>
        <v>Bacs</v>
      </c>
    </row>
    <row r="50" spans="1:36" ht="12">
      <c r="A50" s="392">
        <v>50</v>
      </c>
      <c r="B50" s="33">
        <v>42612</v>
      </c>
      <c r="C50" s="27" t="s">
        <v>344</v>
      </c>
      <c r="D50" s="157">
        <v>3906</v>
      </c>
      <c r="E50" s="36"/>
      <c r="F50" s="148"/>
      <c r="G50" s="36"/>
      <c r="H50" s="136"/>
      <c r="I50" s="34"/>
      <c r="J50" s="36"/>
      <c r="K50" s="36"/>
      <c r="L50" s="36"/>
      <c r="M50" s="36"/>
      <c r="N50" s="36"/>
      <c r="O50" s="36"/>
      <c r="P50" s="36"/>
      <c r="Q50" s="36"/>
      <c r="R50" s="34"/>
      <c r="S50" s="34"/>
      <c r="T50" s="36"/>
      <c r="U50" s="36"/>
      <c r="V50" s="36"/>
      <c r="W50" s="36">
        <v>153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79"/>
      <c r="AI50" s="506">
        <f t="shared" si="0"/>
        <v>153</v>
      </c>
      <c r="AJ50" s="14">
        <f t="shared" si="1"/>
        <v>3906</v>
      </c>
    </row>
    <row r="51" spans="1:36" ht="12">
      <c r="A51" s="391">
        <v>51</v>
      </c>
      <c r="B51" s="33">
        <v>42612</v>
      </c>
      <c r="C51" s="27" t="s">
        <v>346</v>
      </c>
      <c r="D51" s="157">
        <v>3907</v>
      </c>
      <c r="E51" s="36"/>
      <c r="F51" s="148"/>
      <c r="G51" s="36"/>
      <c r="H51" s="136"/>
      <c r="I51" s="34"/>
      <c r="J51" s="36"/>
      <c r="K51" s="36"/>
      <c r="L51" s="36"/>
      <c r="M51" s="36"/>
      <c r="N51" s="36"/>
      <c r="O51" s="36"/>
      <c r="P51" s="36"/>
      <c r="Q51" s="36"/>
      <c r="R51" s="34"/>
      <c r="S51" s="34"/>
      <c r="T51" s="36"/>
      <c r="U51" s="36"/>
      <c r="V51" s="36"/>
      <c r="W51" s="36">
        <v>200</v>
      </c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79"/>
      <c r="AI51" s="506">
        <f t="shared" si="0"/>
        <v>200</v>
      </c>
      <c r="AJ51" s="14">
        <f t="shared" si="1"/>
        <v>3907</v>
      </c>
    </row>
    <row r="52" spans="1:36" ht="12">
      <c r="A52" s="392">
        <v>52</v>
      </c>
      <c r="B52" s="33">
        <v>42612</v>
      </c>
      <c r="C52" s="27" t="s">
        <v>347</v>
      </c>
      <c r="D52" s="157">
        <v>3908</v>
      </c>
      <c r="E52" s="36"/>
      <c r="F52" s="148"/>
      <c r="G52" s="36"/>
      <c r="H52" s="136"/>
      <c r="I52" s="34"/>
      <c r="J52" s="36"/>
      <c r="K52" s="36"/>
      <c r="L52" s="36"/>
      <c r="M52" s="36"/>
      <c r="N52" s="36"/>
      <c r="O52" s="36"/>
      <c r="P52" s="36"/>
      <c r="Q52" s="36"/>
      <c r="R52" s="34"/>
      <c r="S52" s="34"/>
      <c r="T52" s="36"/>
      <c r="U52" s="36"/>
      <c r="V52" s="36"/>
      <c r="W52" s="36">
        <v>240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79"/>
      <c r="AI52" s="506">
        <f t="shared" si="0"/>
        <v>240</v>
      </c>
      <c r="AJ52" s="14">
        <f t="shared" si="1"/>
        <v>3908</v>
      </c>
    </row>
    <row r="53" spans="1:36" ht="12">
      <c r="A53" s="391">
        <v>53</v>
      </c>
      <c r="B53" s="33">
        <v>42612</v>
      </c>
      <c r="C53" s="27" t="s">
        <v>329</v>
      </c>
      <c r="D53" s="157" t="s">
        <v>253</v>
      </c>
      <c r="E53" s="36"/>
      <c r="F53" s="148"/>
      <c r="G53" s="36"/>
      <c r="H53" s="136"/>
      <c r="I53" s="34"/>
      <c r="J53" s="36"/>
      <c r="K53" s="36"/>
      <c r="L53" s="36"/>
      <c r="M53" s="36"/>
      <c r="N53" s="36"/>
      <c r="O53" s="36"/>
      <c r="P53" s="36"/>
      <c r="Q53" s="36"/>
      <c r="R53" s="34"/>
      <c r="S53" s="34">
        <v>645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79"/>
      <c r="AI53" s="506">
        <f t="shared" si="0"/>
        <v>645</v>
      </c>
      <c r="AJ53" s="14" t="str">
        <f t="shared" si="1"/>
        <v>Bacs</v>
      </c>
    </row>
    <row r="54" spans="1:36" ht="12">
      <c r="A54" s="392">
        <v>54</v>
      </c>
      <c r="B54" s="33">
        <v>42612</v>
      </c>
      <c r="C54" s="27" t="s">
        <v>348</v>
      </c>
      <c r="D54" s="157" t="s">
        <v>253</v>
      </c>
      <c r="E54" s="36"/>
      <c r="F54" s="148"/>
      <c r="G54" s="36"/>
      <c r="H54" s="136"/>
      <c r="I54" s="34"/>
      <c r="J54" s="36"/>
      <c r="K54" s="36"/>
      <c r="L54" s="36"/>
      <c r="M54" s="36"/>
      <c r="N54" s="36"/>
      <c r="O54" s="36"/>
      <c r="P54" s="36"/>
      <c r="Q54" s="36"/>
      <c r="R54" s="34"/>
      <c r="S54" s="34">
        <v>300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79"/>
      <c r="AI54" s="506">
        <f t="shared" si="0"/>
        <v>300</v>
      </c>
      <c r="AJ54" s="14" t="str">
        <f t="shared" si="1"/>
        <v>Bacs</v>
      </c>
    </row>
    <row r="55" spans="1:36" ht="12">
      <c r="A55" s="391">
        <v>55</v>
      </c>
      <c r="B55" s="33">
        <v>42613</v>
      </c>
      <c r="C55" s="27" t="s">
        <v>349</v>
      </c>
      <c r="D55" s="157" t="s">
        <v>253</v>
      </c>
      <c r="E55" s="36"/>
      <c r="F55" s="148"/>
      <c r="G55" s="36"/>
      <c r="H55" s="136"/>
      <c r="I55" s="34"/>
      <c r="J55" s="36"/>
      <c r="K55" s="36"/>
      <c r="L55" s="36"/>
      <c r="M55" s="36"/>
      <c r="N55" s="36"/>
      <c r="O55" s="36"/>
      <c r="P55" s="36"/>
      <c r="Q55" s="36"/>
      <c r="R55" s="34"/>
      <c r="S55" s="34"/>
      <c r="T55" s="36"/>
      <c r="U55" s="36">
        <v>800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79"/>
      <c r="AI55" s="506">
        <f t="shared" si="0"/>
        <v>800</v>
      </c>
      <c r="AJ55" s="14" t="str">
        <f t="shared" si="1"/>
        <v>Bacs</v>
      </c>
    </row>
    <row r="56" spans="1:36" ht="12">
      <c r="A56" s="391">
        <v>57</v>
      </c>
      <c r="B56" s="33">
        <v>42613</v>
      </c>
      <c r="C56" s="27" t="s">
        <v>246</v>
      </c>
      <c r="D56" s="157" t="s">
        <v>253</v>
      </c>
      <c r="E56" s="36"/>
      <c r="F56" s="148"/>
      <c r="G56" s="36"/>
      <c r="H56" s="136"/>
      <c r="I56" s="34">
        <v>22.63</v>
      </c>
      <c r="J56" s="36"/>
      <c r="K56" s="36"/>
      <c r="L56" s="36"/>
      <c r="M56" s="36"/>
      <c r="N56" s="36"/>
      <c r="O56" s="36"/>
      <c r="P56" s="36"/>
      <c r="Q56" s="36"/>
      <c r="R56" s="34"/>
      <c r="S56" s="34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79"/>
      <c r="AI56" s="506">
        <f t="shared" si="0"/>
        <v>22.63</v>
      </c>
      <c r="AJ56" s="14" t="str">
        <f t="shared" si="1"/>
        <v>Bacs</v>
      </c>
    </row>
    <row r="57" spans="1:36" ht="12">
      <c r="A57" s="392">
        <v>58</v>
      </c>
      <c r="B57" s="33">
        <v>42613</v>
      </c>
      <c r="C57" s="27" t="s">
        <v>350</v>
      </c>
      <c r="D57" s="157">
        <v>3882</v>
      </c>
      <c r="E57" s="36"/>
      <c r="F57" s="148"/>
      <c r="G57" s="36"/>
      <c r="H57" s="136"/>
      <c r="I57" s="34"/>
      <c r="J57" s="36"/>
      <c r="K57" s="36"/>
      <c r="L57" s="36"/>
      <c r="M57" s="36"/>
      <c r="N57" s="36"/>
      <c r="O57" s="36"/>
      <c r="P57" s="36"/>
      <c r="Q57" s="36"/>
      <c r="R57" s="34"/>
      <c r="S57" s="34"/>
      <c r="T57" s="36"/>
      <c r="U57" s="36"/>
      <c r="V57" s="36"/>
      <c r="W57" s="36">
        <v>939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79"/>
      <c r="AI57" s="506">
        <f t="shared" si="0"/>
        <v>939</v>
      </c>
      <c r="AJ57" s="14">
        <f t="shared" si="1"/>
        <v>3882</v>
      </c>
    </row>
    <row r="58" spans="1:36" ht="12">
      <c r="A58" s="391">
        <v>59</v>
      </c>
      <c r="B58" s="33">
        <v>42612</v>
      </c>
      <c r="C58" s="27" t="s">
        <v>352</v>
      </c>
      <c r="D58" s="157" t="s">
        <v>253</v>
      </c>
      <c r="E58" s="36"/>
      <c r="F58" s="148"/>
      <c r="G58" s="36"/>
      <c r="H58" s="136"/>
      <c r="I58" s="34"/>
      <c r="J58" s="36"/>
      <c r="K58" s="36"/>
      <c r="L58" s="36"/>
      <c r="M58" s="36"/>
      <c r="N58" s="36"/>
      <c r="O58" s="36"/>
      <c r="P58" s="36"/>
      <c r="Q58" s="394"/>
      <c r="R58" s="395"/>
      <c r="S58" s="395"/>
      <c r="T58" s="394"/>
      <c r="U58" s="394"/>
      <c r="V58" s="394"/>
      <c r="W58" s="394">
        <v>1739.42</v>
      </c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6"/>
      <c r="AI58" s="471">
        <f t="shared" si="0"/>
        <v>1739.42</v>
      </c>
      <c r="AJ58" s="14" t="str">
        <f t="shared" si="1"/>
        <v>Bacs</v>
      </c>
    </row>
    <row r="59" spans="1:42" ht="17.25">
      <c r="A59" s="392">
        <v>60</v>
      </c>
      <c r="B59" s="33">
        <v>42612</v>
      </c>
      <c r="C59" s="27" t="s">
        <v>353</v>
      </c>
      <c r="D59" s="474" t="s">
        <v>354</v>
      </c>
      <c r="E59" s="36"/>
      <c r="F59" s="148"/>
      <c r="G59" s="36"/>
      <c r="H59" s="136"/>
      <c r="I59" s="34"/>
      <c r="J59" s="36"/>
      <c r="K59" s="36"/>
      <c r="L59" s="36"/>
      <c r="M59" s="36"/>
      <c r="N59" s="36"/>
      <c r="O59" s="36"/>
      <c r="P59" s="36"/>
      <c r="Q59" s="394"/>
      <c r="R59" s="395"/>
      <c r="S59" s="395"/>
      <c r="T59" s="394"/>
      <c r="U59" s="394">
        <v>3238.14</v>
      </c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6"/>
      <c r="AI59" s="471">
        <f t="shared" si="0"/>
        <v>3238.14</v>
      </c>
      <c r="AJ59" s="507" t="s">
        <v>355</v>
      </c>
      <c r="AK59" s="508"/>
      <c r="AL59" s="508"/>
      <c r="AM59" s="508"/>
      <c r="AN59" s="508"/>
      <c r="AO59" s="508"/>
      <c r="AP59" s="508"/>
    </row>
    <row r="60" spans="1:36" ht="12">
      <c r="A60" s="391">
        <v>61</v>
      </c>
      <c r="B60" s="33">
        <v>42556</v>
      </c>
      <c r="C60" s="27" t="s">
        <v>319</v>
      </c>
      <c r="D60" s="157" t="s">
        <v>222</v>
      </c>
      <c r="E60" s="36"/>
      <c r="F60" s="148"/>
      <c r="G60" s="36"/>
      <c r="H60" s="136"/>
      <c r="I60" s="34"/>
      <c r="J60" s="36">
        <v>97</v>
      </c>
      <c r="K60" s="36"/>
      <c r="L60" s="36"/>
      <c r="M60" s="36"/>
      <c r="N60" s="36"/>
      <c r="O60" s="36"/>
      <c r="P60" s="36"/>
      <c r="Q60" s="394"/>
      <c r="R60" s="395"/>
      <c r="S60" s="395"/>
      <c r="T60" s="480">
        <f>569.98-J60</f>
        <v>472.98</v>
      </c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6"/>
      <c r="AI60" s="482">
        <f t="shared" si="0"/>
        <v>569.98</v>
      </c>
      <c r="AJ60" s="14" t="str">
        <f aca="true" t="shared" si="2" ref="AJ60:AJ81">D60</f>
        <v>DD</v>
      </c>
    </row>
    <row r="61" spans="1:36" ht="12">
      <c r="A61" s="392">
        <v>62</v>
      </c>
      <c r="B61" s="33">
        <v>42586</v>
      </c>
      <c r="C61" s="27" t="s">
        <v>319</v>
      </c>
      <c r="D61" s="157" t="s">
        <v>222</v>
      </c>
      <c r="E61" s="36"/>
      <c r="F61" s="148"/>
      <c r="G61" s="36"/>
      <c r="H61" s="136"/>
      <c r="I61" s="34"/>
      <c r="J61" s="36">
        <f>91.5+48.45</f>
        <v>139.95</v>
      </c>
      <c r="K61" s="36"/>
      <c r="L61" s="36"/>
      <c r="M61" s="36"/>
      <c r="N61" s="36"/>
      <c r="O61" s="36"/>
      <c r="P61" s="36"/>
      <c r="Q61" s="394"/>
      <c r="R61" s="395"/>
      <c r="S61" s="395"/>
      <c r="T61" s="480">
        <v>810</v>
      </c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6"/>
      <c r="AI61" s="482">
        <f t="shared" si="0"/>
        <v>949.95</v>
      </c>
      <c r="AJ61" s="14" t="str">
        <f t="shared" si="2"/>
        <v>DD</v>
      </c>
    </row>
    <row r="62" spans="1:36" ht="12">
      <c r="A62" s="391">
        <v>63</v>
      </c>
      <c r="B62" s="33">
        <v>42557</v>
      </c>
      <c r="C62" s="27" t="s">
        <v>326</v>
      </c>
      <c r="D62" s="157" t="s">
        <v>222</v>
      </c>
      <c r="E62" s="59"/>
      <c r="F62" s="148">
        <v>77</v>
      </c>
      <c r="G62" s="80"/>
      <c r="H62" s="136"/>
      <c r="I62" s="58"/>
      <c r="J62" s="36"/>
      <c r="K62" s="59"/>
      <c r="L62" s="36"/>
      <c r="M62" s="59"/>
      <c r="N62" s="36"/>
      <c r="O62" s="36"/>
      <c r="P62" s="59"/>
      <c r="Q62" s="394"/>
      <c r="R62" s="395"/>
      <c r="S62" s="395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6"/>
      <c r="AI62" s="482">
        <f t="shared" si="0"/>
        <v>77</v>
      </c>
      <c r="AJ62" s="14" t="str">
        <f t="shared" si="2"/>
        <v>DD</v>
      </c>
    </row>
    <row r="63" spans="1:36" ht="12">
      <c r="A63" s="392">
        <v>64</v>
      </c>
      <c r="B63" s="33">
        <v>42589</v>
      </c>
      <c r="C63" s="27" t="s">
        <v>326</v>
      </c>
      <c r="D63" s="157" t="s">
        <v>222</v>
      </c>
      <c r="E63" s="59"/>
      <c r="F63" s="148">
        <v>77</v>
      </c>
      <c r="G63" s="59"/>
      <c r="H63" s="136"/>
      <c r="I63" s="58"/>
      <c r="J63" s="36"/>
      <c r="K63" s="59"/>
      <c r="L63" s="36"/>
      <c r="M63" s="59"/>
      <c r="N63" s="36"/>
      <c r="O63" s="36"/>
      <c r="P63" s="59"/>
      <c r="Q63" s="394"/>
      <c r="R63" s="395"/>
      <c r="S63" s="395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6"/>
      <c r="AI63" s="482">
        <f t="shared" si="0"/>
        <v>77</v>
      </c>
      <c r="AJ63" s="14" t="str">
        <f t="shared" si="2"/>
        <v>DD</v>
      </c>
    </row>
    <row r="64" spans="1:36" ht="12">
      <c r="A64" s="391">
        <v>65</v>
      </c>
      <c r="B64" s="33">
        <v>42536</v>
      </c>
      <c r="C64" s="27" t="s">
        <v>223</v>
      </c>
      <c r="D64" s="157" t="s">
        <v>222</v>
      </c>
      <c r="E64" s="59"/>
      <c r="F64" s="148"/>
      <c r="G64" s="59">
        <v>222.25</v>
      </c>
      <c r="H64" s="136"/>
      <c r="I64" s="95"/>
      <c r="J64" s="36"/>
      <c r="K64" s="59"/>
      <c r="L64" s="36"/>
      <c r="M64" s="59"/>
      <c r="N64" s="36"/>
      <c r="O64" s="36"/>
      <c r="P64" s="59"/>
      <c r="Q64" s="394"/>
      <c r="R64" s="395"/>
      <c r="S64" s="395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6"/>
      <c r="AI64" s="482">
        <f t="shared" si="0"/>
        <v>222.25</v>
      </c>
      <c r="AJ64" s="14" t="str">
        <f t="shared" si="2"/>
        <v>DD</v>
      </c>
    </row>
    <row r="65" spans="1:36" ht="12">
      <c r="A65" s="392">
        <v>66</v>
      </c>
      <c r="B65" s="33">
        <v>42556</v>
      </c>
      <c r="C65" s="27" t="s">
        <v>223</v>
      </c>
      <c r="D65" s="157" t="s">
        <v>222</v>
      </c>
      <c r="E65" s="59"/>
      <c r="F65" s="148"/>
      <c r="G65" s="80">
        <v>106.8</v>
      </c>
      <c r="H65" s="136"/>
      <c r="I65" s="95"/>
      <c r="J65" s="36"/>
      <c r="K65" s="59"/>
      <c r="L65" s="36"/>
      <c r="M65" s="59"/>
      <c r="N65" s="36"/>
      <c r="O65" s="36"/>
      <c r="P65" s="80"/>
      <c r="Q65" s="394"/>
      <c r="R65" s="395"/>
      <c r="S65" s="395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6"/>
      <c r="AI65" s="482">
        <f t="shared" si="0"/>
        <v>106.8</v>
      </c>
      <c r="AJ65" s="14" t="str">
        <f t="shared" si="2"/>
        <v>DD</v>
      </c>
    </row>
    <row r="66" spans="1:36" ht="12">
      <c r="A66" s="391"/>
      <c r="B66" s="33">
        <v>42551</v>
      </c>
      <c r="C66" s="27" t="s">
        <v>56</v>
      </c>
      <c r="D66" s="157" t="s">
        <v>222</v>
      </c>
      <c r="E66" s="59"/>
      <c r="F66" s="148"/>
      <c r="G66" s="80"/>
      <c r="H66" s="136"/>
      <c r="I66" s="95"/>
      <c r="J66" s="36"/>
      <c r="K66" s="59"/>
      <c r="L66" s="36"/>
      <c r="M66" s="59"/>
      <c r="N66" s="36"/>
      <c r="O66" s="36"/>
      <c r="P66" s="80">
        <v>36.81</v>
      </c>
      <c r="Q66" s="394"/>
      <c r="R66" s="395"/>
      <c r="S66" s="395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6"/>
      <c r="AI66" s="482">
        <f t="shared" si="0"/>
        <v>36.81</v>
      </c>
      <c r="AJ66" s="14" t="str">
        <f t="shared" si="2"/>
        <v>DD</v>
      </c>
    </row>
    <row r="67" spans="1:37" s="54" customFormat="1" ht="12">
      <c r="A67" s="391">
        <v>67</v>
      </c>
      <c r="B67" s="33">
        <v>42580</v>
      </c>
      <c r="C67" s="27" t="s">
        <v>56</v>
      </c>
      <c r="D67" s="157" t="s">
        <v>222</v>
      </c>
      <c r="E67" s="35"/>
      <c r="F67" s="153"/>
      <c r="G67" s="35"/>
      <c r="H67" s="166"/>
      <c r="I67" s="57"/>
      <c r="J67" s="35"/>
      <c r="K67" s="35"/>
      <c r="L67" s="35"/>
      <c r="M67" s="35"/>
      <c r="N67" s="35"/>
      <c r="O67" s="35"/>
      <c r="P67" s="35">
        <v>68.56</v>
      </c>
      <c r="Q67" s="397"/>
      <c r="R67" s="398"/>
      <c r="S67" s="398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9"/>
      <c r="AI67" s="482">
        <f t="shared" si="0"/>
        <v>68.56</v>
      </c>
      <c r="AJ67" s="14" t="str">
        <f t="shared" si="2"/>
        <v>DD</v>
      </c>
      <c r="AK67" s="78"/>
    </row>
    <row r="68" spans="1:37" s="54" customFormat="1" ht="12">
      <c r="A68" s="392">
        <v>68</v>
      </c>
      <c r="B68" s="33">
        <v>42551</v>
      </c>
      <c r="C68" s="27" t="s">
        <v>359</v>
      </c>
      <c r="D68" s="157" t="s">
        <v>222</v>
      </c>
      <c r="E68" s="35"/>
      <c r="F68" s="153"/>
      <c r="G68" s="35">
        <v>-58.6</v>
      </c>
      <c r="H68" s="166"/>
      <c r="I68" s="57"/>
      <c r="J68" s="35"/>
      <c r="K68" s="35"/>
      <c r="L68" s="35"/>
      <c r="M68" s="35"/>
      <c r="N68" s="35"/>
      <c r="O68" s="35"/>
      <c r="P68" s="35"/>
      <c r="Q68" s="397"/>
      <c r="R68" s="398"/>
      <c r="S68" s="398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9"/>
      <c r="AI68" s="477">
        <f t="shared" si="0"/>
        <v>-58.6</v>
      </c>
      <c r="AJ68" s="14" t="str">
        <f t="shared" si="2"/>
        <v>DD</v>
      </c>
      <c r="AK68" s="78"/>
    </row>
    <row r="69" spans="1:37" s="54" customFormat="1" ht="12">
      <c r="A69" s="391">
        <v>69</v>
      </c>
      <c r="B69" s="33">
        <v>42589</v>
      </c>
      <c r="C69" s="27" t="s">
        <v>223</v>
      </c>
      <c r="D69" s="157" t="s">
        <v>222</v>
      </c>
      <c r="E69" s="35"/>
      <c r="F69" s="153"/>
      <c r="G69" s="35">
        <v>110.28</v>
      </c>
      <c r="H69" s="166"/>
      <c r="I69" s="57"/>
      <c r="J69" s="35"/>
      <c r="K69" s="35"/>
      <c r="L69" s="35"/>
      <c r="M69" s="35"/>
      <c r="N69" s="35"/>
      <c r="O69" s="35"/>
      <c r="P69" s="35"/>
      <c r="Q69" s="397"/>
      <c r="R69" s="398"/>
      <c r="S69" s="398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9"/>
      <c r="AI69" s="482">
        <f t="shared" si="0"/>
        <v>110.28</v>
      </c>
      <c r="AJ69" s="14" t="str">
        <f t="shared" si="2"/>
        <v>DD</v>
      </c>
      <c r="AK69" s="78"/>
    </row>
    <row r="70" spans="1:36" ht="12">
      <c r="A70" s="391">
        <v>71</v>
      </c>
      <c r="B70" s="33">
        <v>42638</v>
      </c>
      <c r="C70" s="27" t="s">
        <v>246</v>
      </c>
      <c r="D70" s="157" t="s">
        <v>253</v>
      </c>
      <c r="E70" s="36"/>
      <c r="F70" s="148"/>
      <c r="G70" s="36"/>
      <c r="H70" s="136"/>
      <c r="I70" s="36">
        <v>27.26</v>
      </c>
      <c r="J70" s="36"/>
      <c r="K70" s="36"/>
      <c r="M70" s="36"/>
      <c r="N70" s="36"/>
      <c r="O70" s="36"/>
      <c r="P70" s="36"/>
      <c r="Q70" s="394"/>
      <c r="R70" s="395"/>
      <c r="S70" s="395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6"/>
      <c r="AI70" s="482">
        <f aca="true" t="shared" si="3" ref="AI70:AI133">SUM(E70:AH70)</f>
        <v>27.26</v>
      </c>
      <c r="AJ70" s="14" t="str">
        <f t="shared" si="2"/>
        <v>Bacs</v>
      </c>
    </row>
    <row r="71" spans="1:37" ht="12">
      <c r="A71" s="392">
        <v>72</v>
      </c>
      <c r="B71" s="33">
        <v>42638</v>
      </c>
      <c r="C71" s="27" t="s">
        <v>160</v>
      </c>
      <c r="D71" s="157" t="s">
        <v>253</v>
      </c>
      <c r="E71" s="36"/>
      <c r="F71" s="148"/>
      <c r="G71" s="36"/>
      <c r="H71" s="136"/>
      <c r="I71" s="34"/>
      <c r="J71" s="36"/>
      <c r="K71" s="36"/>
      <c r="L71" s="36"/>
      <c r="M71" s="36"/>
      <c r="N71" s="36"/>
      <c r="O71" s="36"/>
      <c r="P71" s="36"/>
      <c r="Q71" s="394">
        <v>156</v>
      </c>
      <c r="R71" s="395"/>
      <c r="S71" s="395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6"/>
      <c r="AI71" s="482">
        <f t="shared" si="3"/>
        <v>156</v>
      </c>
      <c r="AJ71" s="14" t="str">
        <f t="shared" si="2"/>
        <v>Bacs</v>
      </c>
      <c r="AK71" s="6"/>
    </row>
    <row r="72" spans="1:36" ht="12">
      <c r="A72" s="391">
        <v>73</v>
      </c>
      <c r="B72" s="33">
        <v>42638</v>
      </c>
      <c r="C72" s="27" t="s">
        <v>364</v>
      </c>
      <c r="D72" s="157" t="s">
        <v>253</v>
      </c>
      <c r="E72" s="36">
        <v>3083.88</v>
      </c>
      <c r="F72" s="148"/>
      <c r="G72" s="36"/>
      <c r="H72" s="136"/>
      <c r="I72" s="34"/>
      <c r="J72" s="36"/>
      <c r="K72" s="36"/>
      <c r="L72" s="36"/>
      <c r="M72" s="36"/>
      <c r="N72" s="36"/>
      <c r="O72" s="36"/>
      <c r="P72" s="36"/>
      <c r="Q72" s="394"/>
      <c r="R72" s="395"/>
      <c r="S72" s="395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6"/>
      <c r="AI72" s="482">
        <f t="shared" si="3"/>
        <v>3083.88</v>
      </c>
      <c r="AJ72" s="14" t="str">
        <f t="shared" si="2"/>
        <v>Bacs</v>
      </c>
    </row>
    <row r="73" spans="1:36" ht="12">
      <c r="A73" s="392">
        <v>74</v>
      </c>
      <c r="B73" s="33">
        <v>42638</v>
      </c>
      <c r="C73" s="27" t="s">
        <v>365</v>
      </c>
      <c r="D73" s="157" t="s">
        <v>253</v>
      </c>
      <c r="E73" s="36"/>
      <c r="F73" s="148"/>
      <c r="G73" s="36">
        <v>800</v>
      </c>
      <c r="H73" s="136"/>
      <c r="I73" s="34"/>
      <c r="J73" s="36"/>
      <c r="K73" s="36"/>
      <c r="L73" s="36"/>
      <c r="M73" s="36"/>
      <c r="N73" s="36"/>
      <c r="O73" s="36"/>
      <c r="P73" s="36"/>
      <c r="Q73" s="394"/>
      <c r="R73" s="395"/>
      <c r="S73" s="395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6"/>
      <c r="AI73" s="482">
        <f t="shared" si="3"/>
        <v>800</v>
      </c>
      <c r="AJ73" s="14" t="str">
        <f t="shared" si="2"/>
        <v>Bacs</v>
      </c>
    </row>
    <row r="74" spans="1:37" ht="12">
      <c r="A74" s="391">
        <v>75</v>
      </c>
      <c r="B74" s="33">
        <v>42651</v>
      </c>
      <c r="C74" s="27" t="s">
        <v>366</v>
      </c>
      <c r="D74" s="157" t="s">
        <v>253</v>
      </c>
      <c r="E74" s="36"/>
      <c r="F74" s="148"/>
      <c r="G74" s="36"/>
      <c r="H74" s="136"/>
      <c r="I74" s="34"/>
      <c r="J74" s="36"/>
      <c r="K74" s="36"/>
      <c r="L74" s="36"/>
      <c r="M74" s="36"/>
      <c r="N74" s="36"/>
      <c r="O74" s="36"/>
      <c r="P74" s="36"/>
      <c r="Q74" s="394"/>
      <c r="R74" s="395"/>
      <c r="S74" s="395"/>
      <c r="T74" s="394"/>
      <c r="U74" s="394"/>
      <c r="V74" s="394"/>
      <c r="W74" s="394"/>
      <c r="X74" s="394"/>
      <c r="Y74" s="394">
        <v>858.82</v>
      </c>
      <c r="Z74" s="394"/>
      <c r="AA74" s="394"/>
      <c r="AB74" s="394"/>
      <c r="AC74" s="394"/>
      <c r="AD74" s="394"/>
      <c r="AE74" s="394"/>
      <c r="AF74" s="394"/>
      <c r="AG74" s="394"/>
      <c r="AH74" s="396"/>
      <c r="AI74" s="471">
        <f t="shared" si="3"/>
        <v>858.82</v>
      </c>
      <c r="AJ74" s="14" t="str">
        <f t="shared" si="2"/>
        <v>Bacs</v>
      </c>
      <c r="AK74" s="7" t="s">
        <v>568</v>
      </c>
    </row>
    <row r="75" spans="1:36" ht="12">
      <c r="A75" s="392">
        <v>76</v>
      </c>
      <c r="B75" s="33">
        <v>42651</v>
      </c>
      <c r="C75" s="27" t="s">
        <v>367</v>
      </c>
      <c r="D75" s="157" t="s">
        <v>253</v>
      </c>
      <c r="E75" s="36"/>
      <c r="F75" s="148"/>
      <c r="G75" s="36"/>
      <c r="H75" s="136"/>
      <c r="I75" s="34"/>
      <c r="J75" s="36"/>
      <c r="K75" s="36"/>
      <c r="L75" s="36"/>
      <c r="M75" s="36"/>
      <c r="N75" s="36"/>
      <c r="O75" s="36"/>
      <c r="P75" s="36"/>
      <c r="Q75" s="394">
        <v>107.75</v>
      </c>
      <c r="R75" s="395"/>
      <c r="S75" s="395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6"/>
      <c r="AI75" s="482">
        <f t="shared" si="3"/>
        <v>107.75</v>
      </c>
      <c r="AJ75" s="14" t="str">
        <f t="shared" si="2"/>
        <v>Bacs</v>
      </c>
    </row>
    <row r="76" spans="1:36" ht="12">
      <c r="A76" s="391">
        <v>77</v>
      </c>
      <c r="B76" s="33">
        <v>42658</v>
      </c>
      <c r="C76" s="27" t="s">
        <v>368</v>
      </c>
      <c r="D76" s="157" t="s">
        <v>253</v>
      </c>
      <c r="E76" s="36"/>
      <c r="F76" s="148"/>
      <c r="G76" s="36"/>
      <c r="H76" s="136"/>
      <c r="I76" s="34"/>
      <c r="J76" s="36"/>
      <c r="K76" s="36">
        <v>117.62</v>
      </c>
      <c r="L76" s="36"/>
      <c r="M76" s="36"/>
      <c r="N76" s="36"/>
      <c r="O76" s="36"/>
      <c r="P76" s="36"/>
      <c r="Q76" s="394"/>
      <c r="R76" s="395"/>
      <c r="S76" s="395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6"/>
      <c r="AI76" s="482">
        <f t="shared" si="3"/>
        <v>117.62</v>
      </c>
      <c r="AJ76" s="14" t="str">
        <f t="shared" si="2"/>
        <v>Bacs</v>
      </c>
    </row>
    <row r="77" spans="1:36" ht="12">
      <c r="A77" s="392">
        <v>78</v>
      </c>
      <c r="B77" s="33">
        <v>42658</v>
      </c>
      <c r="C77" s="38" t="s">
        <v>369</v>
      </c>
      <c r="D77" s="158">
        <v>3911</v>
      </c>
      <c r="E77" s="36"/>
      <c r="F77" s="148"/>
      <c r="G77" s="36"/>
      <c r="H77" s="136"/>
      <c r="I77" s="34"/>
      <c r="J77" s="36">
        <v>9</v>
      </c>
      <c r="K77" s="36"/>
      <c r="L77" s="36"/>
      <c r="M77" s="36"/>
      <c r="N77" s="36"/>
      <c r="O77" s="36"/>
      <c r="P77" s="36"/>
      <c r="Q77" s="394"/>
      <c r="R77" s="395"/>
      <c r="S77" s="395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6"/>
      <c r="AI77" s="482">
        <f t="shared" si="3"/>
        <v>9</v>
      </c>
      <c r="AJ77" s="14">
        <f t="shared" si="2"/>
        <v>3911</v>
      </c>
    </row>
    <row r="78" spans="1:36" ht="12">
      <c r="A78" s="391">
        <v>79</v>
      </c>
      <c r="B78" s="33">
        <v>42663</v>
      </c>
      <c r="C78" s="38" t="s">
        <v>370</v>
      </c>
      <c r="D78" s="158" t="s">
        <v>253</v>
      </c>
      <c r="E78" s="36"/>
      <c r="F78" s="148"/>
      <c r="G78" s="36"/>
      <c r="H78" s="136">
        <v>30.86</v>
      </c>
      <c r="I78" s="34"/>
      <c r="J78" s="36"/>
      <c r="K78" s="36"/>
      <c r="L78" s="36"/>
      <c r="M78" s="36"/>
      <c r="N78" s="36"/>
      <c r="O78" s="36"/>
      <c r="P78" s="36"/>
      <c r="Q78" s="394"/>
      <c r="R78" s="395"/>
      <c r="S78" s="395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6"/>
      <c r="AI78" s="482">
        <f t="shared" si="3"/>
        <v>30.86</v>
      </c>
      <c r="AJ78" s="14" t="str">
        <f t="shared" si="2"/>
        <v>Bacs</v>
      </c>
    </row>
    <row r="79" spans="1:36" ht="12">
      <c r="A79" s="392">
        <v>80</v>
      </c>
      <c r="B79" s="33">
        <v>42662</v>
      </c>
      <c r="C79" s="38" t="s">
        <v>371</v>
      </c>
      <c r="D79" s="158" t="s">
        <v>253</v>
      </c>
      <c r="E79" s="36">
        <v>3352.98</v>
      </c>
      <c r="F79" s="148"/>
      <c r="G79" s="36"/>
      <c r="H79" s="136"/>
      <c r="I79" s="34"/>
      <c r="J79" s="36"/>
      <c r="K79" s="36"/>
      <c r="L79" s="36"/>
      <c r="M79" s="36"/>
      <c r="N79" s="36"/>
      <c r="O79" s="36"/>
      <c r="P79" s="36"/>
      <c r="Q79" s="394"/>
      <c r="R79" s="395"/>
      <c r="S79" s="395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6"/>
      <c r="AI79" s="482">
        <f t="shared" si="3"/>
        <v>3352.98</v>
      </c>
      <c r="AJ79" s="14" t="str">
        <f t="shared" si="2"/>
        <v>Bacs</v>
      </c>
    </row>
    <row r="80" spans="1:36" ht="12">
      <c r="A80" s="391">
        <v>81</v>
      </c>
      <c r="B80" s="33">
        <v>42662</v>
      </c>
      <c r="C80" s="38" t="s">
        <v>242</v>
      </c>
      <c r="D80" s="158">
        <v>3912</v>
      </c>
      <c r="E80" s="36"/>
      <c r="F80" s="148">
        <v>2125</v>
      </c>
      <c r="G80" s="36"/>
      <c r="H80" s="136"/>
      <c r="I80" s="34"/>
      <c r="J80" s="36"/>
      <c r="K80" s="36"/>
      <c r="L80" s="36"/>
      <c r="M80" s="36"/>
      <c r="N80" s="36"/>
      <c r="O80" s="36"/>
      <c r="P80" s="36"/>
      <c r="Q80" s="394"/>
      <c r="R80" s="395"/>
      <c r="S80" s="395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6"/>
      <c r="AI80" s="482">
        <f t="shared" si="3"/>
        <v>2125</v>
      </c>
      <c r="AJ80" s="14">
        <f t="shared" si="2"/>
        <v>3912</v>
      </c>
    </row>
    <row r="81" spans="1:36" ht="12">
      <c r="A81" s="54">
        <v>82</v>
      </c>
      <c r="B81" s="33">
        <v>42667</v>
      </c>
      <c r="C81" s="38" t="s">
        <v>372</v>
      </c>
      <c r="D81" s="158" t="s">
        <v>253</v>
      </c>
      <c r="E81" s="59"/>
      <c r="F81" s="148"/>
      <c r="G81" s="80"/>
      <c r="H81" s="136"/>
      <c r="I81" s="58"/>
      <c r="J81" s="36"/>
      <c r="K81" s="481">
        <v>90</v>
      </c>
      <c r="L81" s="36"/>
      <c r="M81" s="59"/>
      <c r="N81" s="36"/>
      <c r="O81" s="36"/>
      <c r="P81" s="59"/>
      <c r="Q81" s="394"/>
      <c r="R81" s="395"/>
      <c r="S81" s="395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6"/>
      <c r="AI81" s="482">
        <f t="shared" si="3"/>
        <v>90</v>
      </c>
      <c r="AJ81" s="14" t="str">
        <f t="shared" si="2"/>
        <v>Bacs</v>
      </c>
    </row>
    <row r="82" spans="1:36" ht="12">
      <c r="A82" s="391">
        <v>83</v>
      </c>
      <c r="B82" s="33">
        <v>42614</v>
      </c>
      <c r="C82" s="38" t="s">
        <v>223</v>
      </c>
      <c r="D82" s="158" t="s">
        <v>222</v>
      </c>
      <c r="E82" s="36"/>
      <c r="F82" s="148"/>
      <c r="G82" s="80">
        <v>112.28</v>
      </c>
      <c r="H82" s="136"/>
      <c r="I82" s="34"/>
      <c r="J82" s="36"/>
      <c r="K82" s="36"/>
      <c r="L82" s="36"/>
      <c r="M82" s="36"/>
      <c r="N82" s="36"/>
      <c r="O82" s="36"/>
      <c r="P82" s="36"/>
      <c r="Q82" s="394"/>
      <c r="R82" s="400"/>
      <c r="S82" s="395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6"/>
      <c r="AI82" s="482">
        <f t="shared" si="3"/>
        <v>112.28</v>
      </c>
      <c r="AJ82" s="14" t="str">
        <f>D82</f>
        <v>DD</v>
      </c>
    </row>
    <row r="83" spans="1:36" ht="12">
      <c r="A83" s="54">
        <v>84</v>
      </c>
      <c r="B83" s="33">
        <v>42618</v>
      </c>
      <c r="C83" s="38" t="s">
        <v>326</v>
      </c>
      <c r="D83" s="158" t="s">
        <v>222</v>
      </c>
      <c r="E83" s="36"/>
      <c r="F83" s="148">
        <v>77</v>
      </c>
      <c r="G83" s="36"/>
      <c r="H83" s="136"/>
      <c r="I83" s="34"/>
      <c r="J83" s="36"/>
      <c r="K83" s="36"/>
      <c r="L83" s="36"/>
      <c r="M83" s="36"/>
      <c r="N83" s="36"/>
      <c r="O83" s="36"/>
      <c r="P83" s="36"/>
      <c r="Q83" s="394"/>
      <c r="R83" s="400"/>
      <c r="S83" s="395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6"/>
      <c r="AI83" s="482">
        <f t="shared" si="3"/>
        <v>77</v>
      </c>
      <c r="AJ83" s="14" t="str">
        <f>D83</f>
        <v>DD</v>
      </c>
    </row>
    <row r="84" spans="1:36" ht="12">
      <c r="A84" s="391">
        <v>85</v>
      </c>
      <c r="B84" s="33">
        <v>42618</v>
      </c>
      <c r="C84" s="38" t="s">
        <v>319</v>
      </c>
      <c r="D84" s="158" t="s">
        <v>222</v>
      </c>
      <c r="E84" s="36"/>
      <c r="F84" s="148"/>
      <c r="G84" s="36"/>
      <c r="H84" s="136"/>
      <c r="I84" s="34"/>
      <c r="J84" s="36">
        <f>634.67-U84</f>
        <v>406.31999999999994</v>
      </c>
      <c r="K84" s="36"/>
      <c r="L84" s="36"/>
      <c r="M84" s="36"/>
      <c r="N84" s="36"/>
      <c r="O84" s="36"/>
      <c r="P84" s="36"/>
      <c r="Q84" s="394"/>
      <c r="R84" s="400"/>
      <c r="S84" s="395"/>
      <c r="T84" s="394"/>
      <c r="U84" s="394">
        <v>228.35</v>
      </c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6"/>
      <c r="AI84" s="482">
        <f t="shared" si="3"/>
        <v>634.67</v>
      </c>
      <c r="AJ84" s="14" t="str">
        <f>D84</f>
        <v>DD</v>
      </c>
    </row>
    <row r="85" spans="1:36" ht="13.5" customHeight="1">
      <c r="A85" s="54">
        <v>86</v>
      </c>
      <c r="B85" s="33">
        <v>42620</v>
      </c>
      <c r="C85" s="38" t="s">
        <v>373</v>
      </c>
      <c r="D85" s="158" t="s">
        <v>222</v>
      </c>
      <c r="E85" s="36"/>
      <c r="F85" s="148"/>
      <c r="G85" s="36"/>
      <c r="H85" s="136">
        <v>187</v>
      </c>
      <c r="I85" s="34"/>
      <c r="J85" s="36"/>
      <c r="K85" s="36"/>
      <c r="L85" s="36"/>
      <c r="M85" s="36"/>
      <c r="N85" s="36"/>
      <c r="O85" s="36"/>
      <c r="P85" s="36"/>
      <c r="Q85" s="394"/>
      <c r="R85" s="400"/>
      <c r="S85" s="395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6"/>
      <c r="AI85" s="482">
        <f t="shared" si="3"/>
        <v>187</v>
      </c>
      <c r="AJ85" s="14" t="str">
        <f>D85</f>
        <v>DD</v>
      </c>
    </row>
    <row r="86" spans="1:36" ht="12">
      <c r="A86" s="391">
        <v>87</v>
      </c>
      <c r="B86" s="33">
        <v>42628</v>
      </c>
      <c r="C86" s="38" t="s">
        <v>223</v>
      </c>
      <c r="D86" s="158" t="s">
        <v>222</v>
      </c>
      <c r="E86" s="36"/>
      <c r="F86" s="148"/>
      <c r="G86" s="36">
        <v>220.68</v>
      </c>
      <c r="H86" s="136"/>
      <c r="I86" s="34"/>
      <c r="J86" s="36"/>
      <c r="K86" s="36"/>
      <c r="L86" s="36"/>
      <c r="M86" s="36"/>
      <c r="N86" s="36"/>
      <c r="O86" s="36"/>
      <c r="P86" s="36"/>
      <c r="Q86" s="394"/>
      <c r="R86" s="400"/>
      <c r="S86" s="395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6"/>
      <c r="AI86" s="482">
        <f t="shared" si="3"/>
        <v>220.68</v>
      </c>
      <c r="AJ86" s="14" t="str">
        <f>D86</f>
        <v>DD</v>
      </c>
    </row>
    <row r="87" spans="1:36" ht="12">
      <c r="A87" s="54">
        <v>88</v>
      </c>
      <c r="B87" s="33">
        <v>42633</v>
      </c>
      <c r="C87" s="38" t="s">
        <v>85</v>
      </c>
      <c r="D87" s="158" t="s">
        <v>222</v>
      </c>
      <c r="E87" s="36"/>
      <c r="F87" s="148"/>
      <c r="G87" s="36"/>
      <c r="H87" s="136"/>
      <c r="I87" s="34"/>
      <c r="J87" s="36"/>
      <c r="K87" s="36"/>
      <c r="L87" s="36"/>
      <c r="M87" s="36"/>
      <c r="N87" s="36"/>
      <c r="O87" s="36"/>
      <c r="P87" s="36">
        <v>75.79</v>
      </c>
      <c r="Q87" s="394"/>
      <c r="R87" s="400"/>
      <c r="S87" s="395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6"/>
      <c r="AI87" s="482">
        <f t="shared" si="3"/>
        <v>75.79</v>
      </c>
      <c r="AJ87" s="14" t="str">
        <f aca="true" t="shared" si="4" ref="AJ87:AJ136">D87</f>
        <v>DD</v>
      </c>
    </row>
    <row r="88" spans="1:36" ht="12">
      <c r="A88" s="391">
        <v>89</v>
      </c>
      <c r="B88" s="33">
        <v>42646</v>
      </c>
      <c r="C88" s="38" t="s">
        <v>375</v>
      </c>
      <c r="D88" s="158" t="s">
        <v>222</v>
      </c>
      <c r="E88" s="36"/>
      <c r="F88" s="148"/>
      <c r="G88" s="36"/>
      <c r="H88" s="136"/>
      <c r="I88" s="34"/>
      <c r="J88" s="36">
        <v>12</v>
      </c>
      <c r="K88" s="36"/>
      <c r="L88" s="36"/>
      <c r="M88" s="36"/>
      <c r="N88" s="36"/>
      <c r="O88" s="36"/>
      <c r="P88" s="36"/>
      <c r="Q88" s="394"/>
      <c r="R88" s="400"/>
      <c r="S88" s="395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6"/>
      <c r="AI88" s="482">
        <f t="shared" si="3"/>
        <v>12</v>
      </c>
      <c r="AJ88" s="14" t="str">
        <f t="shared" si="4"/>
        <v>DD</v>
      </c>
    </row>
    <row r="89" spans="1:36" ht="12">
      <c r="A89" s="54">
        <v>90</v>
      </c>
      <c r="B89" s="33">
        <v>42648</v>
      </c>
      <c r="C89" s="38" t="s">
        <v>319</v>
      </c>
      <c r="D89" s="158" t="s">
        <v>222</v>
      </c>
      <c r="E89" s="36"/>
      <c r="F89" s="148"/>
      <c r="G89" s="36"/>
      <c r="H89" s="136"/>
      <c r="I89" s="34"/>
      <c r="J89" s="36">
        <v>57.77</v>
      </c>
      <c r="K89" s="36"/>
      <c r="L89" s="36"/>
      <c r="M89" s="36"/>
      <c r="N89" s="36"/>
      <c r="O89" s="36"/>
      <c r="P89" s="36"/>
      <c r="Q89" s="394"/>
      <c r="R89" s="400"/>
      <c r="S89" s="395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6"/>
      <c r="AI89" s="482">
        <f t="shared" si="3"/>
        <v>57.77</v>
      </c>
      <c r="AJ89" s="14" t="str">
        <f t="shared" si="4"/>
        <v>DD</v>
      </c>
    </row>
    <row r="90" spans="1:36" ht="12">
      <c r="A90" s="391">
        <v>91</v>
      </c>
      <c r="B90" s="33">
        <v>42648</v>
      </c>
      <c r="C90" s="38" t="s">
        <v>326</v>
      </c>
      <c r="D90" s="158" t="s">
        <v>222</v>
      </c>
      <c r="E90" s="36"/>
      <c r="F90" s="148">
        <v>77</v>
      </c>
      <c r="G90" s="36"/>
      <c r="H90" s="136"/>
      <c r="I90" s="34"/>
      <c r="J90" s="36"/>
      <c r="K90" s="36"/>
      <c r="L90" s="36"/>
      <c r="M90" s="36"/>
      <c r="N90" s="36"/>
      <c r="O90" s="36"/>
      <c r="P90" s="36"/>
      <c r="Q90" s="394"/>
      <c r="R90" s="400"/>
      <c r="S90" s="395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6"/>
      <c r="AI90" s="482">
        <f t="shared" si="3"/>
        <v>77</v>
      </c>
      <c r="AJ90" s="14" t="str">
        <f t="shared" si="4"/>
        <v>DD</v>
      </c>
    </row>
    <row r="91" spans="1:36" ht="12">
      <c r="A91" s="54">
        <v>92</v>
      </c>
      <c r="B91" s="33">
        <v>42681</v>
      </c>
      <c r="C91" s="38" t="s">
        <v>225</v>
      </c>
      <c r="D91" s="158">
        <v>3913</v>
      </c>
      <c r="E91" s="36"/>
      <c r="F91" s="148"/>
      <c r="G91" s="36"/>
      <c r="H91" s="136"/>
      <c r="I91" s="34"/>
      <c r="J91" s="36"/>
      <c r="K91" s="36"/>
      <c r="L91" s="36"/>
      <c r="M91" s="36"/>
      <c r="N91" s="36"/>
      <c r="O91" s="36"/>
      <c r="P91" s="36"/>
      <c r="Q91" s="394"/>
      <c r="R91" s="400"/>
      <c r="S91" s="395"/>
      <c r="T91" s="394"/>
      <c r="U91" s="394"/>
      <c r="V91" s="394"/>
      <c r="W91" s="394"/>
      <c r="X91" s="394"/>
      <c r="Y91" s="394">
        <v>172.12</v>
      </c>
      <c r="Z91" s="394"/>
      <c r="AA91" s="394"/>
      <c r="AB91" s="394"/>
      <c r="AC91" s="394">
        <v>170</v>
      </c>
      <c r="AD91" s="394"/>
      <c r="AE91" s="394"/>
      <c r="AF91" s="394"/>
      <c r="AG91" s="394"/>
      <c r="AH91" s="396"/>
      <c r="AI91" s="482">
        <f t="shared" si="3"/>
        <v>342.12</v>
      </c>
      <c r="AJ91" s="14">
        <f t="shared" si="4"/>
        <v>3913</v>
      </c>
    </row>
    <row r="92" spans="1:36" ht="12">
      <c r="A92" s="391">
        <v>93</v>
      </c>
      <c r="B92" s="33">
        <v>42681</v>
      </c>
      <c r="C92" s="38" t="s">
        <v>377</v>
      </c>
      <c r="D92" s="158" t="s">
        <v>253</v>
      </c>
      <c r="E92" s="36"/>
      <c r="F92" s="148"/>
      <c r="G92" s="36"/>
      <c r="H92" s="136"/>
      <c r="I92" s="34"/>
      <c r="J92" s="36"/>
      <c r="K92" s="36"/>
      <c r="L92" s="36"/>
      <c r="M92" s="36"/>
      <c r="N92" s="36"/>
      <c r="O92" s="36"/>
      <c r="P92" s="36"/>
      <c r="Q92" s="394"/>
      <c r="R92" s="400"/>
      <c r="S92" s="395"/>
      <c r="T92" s="394"/>
      <c r="U92" s="394">
        <v>1850.5</v>
      </c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6"/>
      <c r="AI92" s="482">
        <f t="shared" si="3"/>
        <v>1850.5</v>
      </c>
      <c r="AJ92" s="14" t="str">
        <f t="shared" si="4"/>
        <v>Bacs</v>
      </c>
    </row>
    <row r="93" spans="1:36" ht="12">
      <c r="A93" s="54">
        <v>94</v>
      </c>
      <c r="B93" s="33">
        <v>42681</v>
      </c>
      <c r="C93" s="38" t="s">
        <v>251</v>
      </c>
      <c r="D93" s="158" t="s">
        <v>253</v>
      </c>
      <c r="E93" s="36"/>
      <c r="F93" s="148"/>
      <c r="G93" s="36"/>
      <c r="H93" s="136"/>
      <c r="I93" s="34"/>
      <c r="J93" s="36"/>
      <c r="K93" s="36"/>
      <c r="L93" s="36"/>
      <c r="M93" s="36"/>
      <c r="N93" s="36"/>
      <c r="O93" s="36"/>
      <c r="P93" s="36"/>
      <c r="Q93" s="394"/>
      <c r="R93" s="400"/>
      <c r="S93" s="395"/>
      <c r="T93" s="394"/>
      <c r="U93" s="394"/>
      <c r="V93" s="394"/>
      <c r="W93" s="394"/>
      <c r="X93" s="394"/>
      <c r="Y93" s="394"/>
      <c r="Z93" s="394"/>
      <c r="AA93" s="394"/>
      <c r="AB93" s="394"/>
      <c r="AC93" s="394">
        <v>330</v>
      </c>
      <c r="AD93" s="394"/>
      <c r="AE93" s="394"/>
      <c r="AF93" s="394"/>
      <c r="AG93" s="394"/>
      <c r="AH93" s="396"/>
      <c r="AI93" s="482">
        <f t="shared" si="3"/>
        <v>330</v>
      </c>
      <c r="AJ93" s="14" t="str">
        <f t="shared" si="4"/>
        <v>Bacs</v>
      </c>
    </row>
    <row r="94" spans="1:36" ht="12">
      <c r="A94" s="391">
        <v>95</v>
      </c>
      <c r="B94" s="33">
        <v>42681</v>
      </c>
      <c r="C94" s="38" t="s">
        <v>378</v>
      </c>
      <c r="D94" s="158" t="s">
        <v>253</v>
      </c>
      <c r="E94" s="36"/>
      <c r="F94" s="148"/>
      <c r="G94" s="36"/>
      <c r="H94" s="136"/>
      <c r="I94" s="34"/>
      <c r="J94" s="36"/>
      <c r="K94" s="36"/>
      <c r="L94" s="36"/>
      <c r="M94" s="36"/>
      <c r="N94" s="36"/>
      <c r="O94" s="36"/>
      <c r="P94" s="36"/>
      <c r="Q94" s="394"/>
      <c r="R94" s="400"/>
      <c r="S94" s="395"/>
      <c r="T94" s="394"/>
      <c r="U94" s="394"/>
      <c r="V94" s="394"/>
      <c r="W94" s="394"/>
      <c r="X94" s="394"/>
      <c r="Y94" s="394"/>
      <c r="Z94" s="394"/>
      <c r="AA94" s="394"/>
      <c r="AB94" s="394"/>
      <c r="AC94" s="394">
        <v>500</v>
      </c>
      <c r="AD94" s="394"/>
      <c r="AE94" s="394"/>
      <c r="AF94" s="394"/>
      <c r="AG94" s="394"/>
      <c r="AH94" s="396"/>
      <c r="AI94" s="482">
        <f t="shared" si="3"/>
        <v>500</v>
      </c>
      <c r="AJ94" s="14" t="str">
        <f t="shared" si="4"/>
        <v>Bacs</v>
      </c>
    </row>
    <row r="95" spans="1:36" ht="12">
      <c r="A95" s="54">
        <v>96</v>
      </c>
      <c r="B95" s="33">
        <v>42678</v>
      </c>
      <c r="C95" s="38" t="s">
        <v>319</v>
      </c>
      <c r="D95" s="158" t="s">
        <v>222</v>
      </c>
      <c r="E95" s="36"/>
      <c r="F95" s="148"/>
      <c r="G95" s="36"/>
      <c r="H95" s="136"/>
      <c r="I95" s="34"/>
      <c r="J95" s="36">
        <f>300+89.99+166.79</f>
        <v>556.78</v>
      </c>
      <c r="K95" s="36"/>
      <c r="L95" s="36"/>
      <c r="M95" s="36"/>
      <c r="N95" s="36"/>
      <c r="O95" s="36"/>
      <c r="P95" s="36"/>
      <c r="Q95" s="394"/>
      <c r="R95" s="400"/>
      <c r="S95" s="395"/>
      <c r="T95" s="394"/>
      <c r="U95" s="394"/>
      <c r="V95" s="394"/>
      <c r="W95" s="394"/>
      <c r="X95" s="394"/>
      <c r="Y95" s="394"/>
      <c r="Z95" s="394"/>
      <c r="AA95" s="394"/>
      <c r="AB95" s="394"/>
      <c r="AC95" s="394">
        <f>48.99+63.99+115.48</f>
        <v>228.46</v>
      </c>
      <c r="AD95" s="394"/>
      <c r="AE95" s="394"/>
      <c r="AF95" s="394"/>
      <c r="AG95" s="394"/>
      <c r="AH95" s="396"/>
      <c r="AI95" s="482">
        <f t="shared" si="3"/>
        <v>785.24</v>
      </c>
      <c r="AJ95" s="14" t="str">
        <f t="shared" si="4"/>
        <v>DD</v>
      </c>
    </row>
    <row r="96" spans="1:36" ht="12">
      <c r="A96" s="391">
        <v>97</v>
      </c>
      <c r="B96" s="33">
        <v>42681</v>
      </c>
      <c r="C96" s="38" t="s">
        <v>200</v>
      </c>
      <c r="D96" s="158" t="s">
        <v>253</v>
      </c>
      <c r="E96" s="36"/>
      <c r="F96" s="148"/>
      <c r="G96" s="36"/>
      <c r="H96" s="136"/>
      <c r="I96" s="34"/>
      <c r="J96" s="36"/>
      <c r="K96" s="36"/>
      <c r="L96" s="36"/>
      <c r="M96" s="36"/>
      <c r="N96" s="36"/>
      <c r="O96" s="36"/>
      <c r="P96" s="36"/>
      <c r="Q96" s="394"/>
      <c r="R96" s="400"/>
      <c r="S96" s="395"/>
      <c r="T96" s="394"/>
      <c r="U96" s="394"/>
      <c r="V96" s="394"/>
      <c r="W96" s="394"/>
      <c r="X96" s="394"/>
      <c r="Y96" s="394"/>
      <c r="Z96" s="394"/>
      <c r="AA96" s="394"/>
      <c r="AB96" s="394"/>
      <c r="AC96" s="394">
        <v>879.68</v>
      </c>
      <c r="AD96" s="394"/>
      <c r="AE96" s="394"/>
      <c r="AF96" s="394"/>
      <c r="AG96" s="394"/>
      <c r="AH96" s="396"/>
      <c r="AI96" s="471">
        <f t="shared" si="3"/>
        <v>879.68</v>
      </c>
      <c r="AJ96" s="14" t="str">
        <f t="shared" si="4"/>
        <v>Bacs</v>
      </c>
    </row>
    <row r="97" spans="1:36" ht="12">
      <c r="A97" s="54">
        <v>98</v>
      </c>
      <c r="B97" s="33">
        <v>42682</v>
      </c>
      <c r="C97" s="38" t="s">
        <v>334</v>
      </c>
      <c r="D97" s="158" t="s">
        <v>253</v>
      </c>
      <c r="E97" s="36"/>
      <c r="F97" s="148"/>
      <c r="G97" s="36"/>
      <c r="H97" s="136"/>
      <c r="I97" s="34"/>
      <c r="J97" s="36">
        <v>500</v>
      </c>
      <c r="K97" s="36"/>
      <c r="L97" s="36"/>
      <c r="M97" s="36"/>
      <c r="N97" s="36"/>
      <c r="O97" s="36"/>
      <c r="P97" s="36"/>
      <c r="Q97" s="394"/>
      <c r="R97" s="400"/>
      <c r="S97" s="395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6"/>
      <c r="AI97" s="482">
        <f t="shared" si="3"/>
        <v>500</v>
      </c>
      <c r="AJ97" s="14" t="str">
        <f t="shared" si="4"/>
        <v>Bacs</v>
      </c>
    </row>
    <row r="98" spans="1:36" ht="12">
      <c r="A98" s="391">
        <v>99</v>
      </c>
      <c r="B98" s="33">
        <v>42682</v>
      </c>
      <c r="C98" s="38" t="s">
        <v>246</v>
      </c>
      <c r="D98" s="158" t="s">
        <v>253</v>
      </c>
      <c r="E98" s="36"/>
      <c r="F98" s="148"/>
      <c r="G98" s="36"/>
      <c r="H98" s="136"/>
      <c r="I98" s="34">
        <v>122.43</v>
      </c>
      <c r="J98" s="36"/>
      <c r="K98" s="36"/>
      <c r="L98" s="36"/>
      <c r="M98" s="36"/>
      <c r="N98" s="36"/>
      <c r="O98" s="36"/>
      <c r="P98" s="36"/>
      <c r="Q98" s="394"/>
      <c r="R98" s="400"/>
      <c r="S98" s="395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6"/>
      <c r="AI98" s="482">
        <f t="shared" si="3"/>
        <v>122.43</v>
      </c>
      <c r="AJ98" s="14" t="str">
        <f t="shared" si="4"/>
        <v>Bacs</v>
      </c>
    </row>
    <row r="99" spans="1:36" ht="12">
      <c r="A99" s="54">
        <v>100</v>
      </c>
      <c r="B99" s="33">
        <v>42682</v>
      </c>
      <c r="C99" s="38" t="s">
        <v>379</v>
      </c>
      <c r="D99" s="158" t="s">
        <v>253</v>
      </c>
      <c r="E99" s="36"/>
      <c r="F99" s="148"/>
      <c r="G99" s="36"/>
      <c r="H99" s="136"/>
      <c r="I99" s="34"/>
      <c r="J99" s="36"/>
      <c r="K99" s="36"/>
      <c r="L99" s="36"/>
      <c r="M99" s="36"/>
      <c r="N99" s="36"/>
      <c r="O99" s="36"/>
      <c r="P99" s="36"/>
      <c r="Q99" s="394"/>
      <c r="R99" s="400"/>
      <c r="S99" s="395"/>
      <c r="T99" s="394"/>
      <c r="U99" s="394"/>
      <c r="V99" s="394"/>
      <c r="W99" s="394"/>
      <c r="X99" s="394"/>
      <c r="Y99" s="394"/>
      <c r="Z99" s="394"/>
      <c r="AA99" s="394"/>
      <c r="AB99" s="394"/>
      <c r="AC99" s="394">
        <v>1026</v>
      </c>
      <c r="AD99" s="394"/>
      <c r="AE99" s="394"/>
      <c r="AF99" s="394"/>
      <c r="AG99" s="394"/>
      <c r="AH99" s="396"/>
      <c r="AI99" s="482">
        <f t="shared" si="3"/>
        <v>1026</v>
      </c>
      <c r="AJ99" s="14" t="str">
        <f t="shared" si="4"/>
        <v>Bacs</v>
      </c>
    </row>
    <row r="100" spans="1:36" ht="12">
      <c r="A100" s="391">
        <v>101</v>
      </c>
      <c r="B100" s="33">
        <v>42692</v>
      </c>
      <c r="C100" s="38" t="s">
        <v>246</v>
      </c>
      <c r="D100" s="158" t="s">
        <v>253</v>
      </c>
      <c r="E100" s="36"/>
      <c r="F100" s="148"/>
      <c r="G100" s="36"/>
      <c r="H100" s="136"/>
      <c r="I100" s="34">
        <v>48</v>
      </c>
      <c r="J100" s="36"/>
      <c r="K100" s="36"/>
      <c r="L100" s="36"/>
      <c r="M100" s="36"/>
      <c r="N100" s="36"/>
      <c r="O100" s="36"/>
      <c r="P100" s="36"/>
      <c r="Q100" s="394"/>
      <c r="R100" s="400"/>
      <c r="S100" s="395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6"/>
      <c r="AI100" s="482">
        <f t="shared" si="3"/>
        <v>48</v>
      </c>
      <c r="AJ100" s="14" t="str">
        <f t="shared" si="4"/>
        <v>Bacs</v>
      </c>
    </row>
    <row r="101" spans="1:36" ht="12">
      <c r="A101" s="54">
        <v>102</v>
      </c>
      <c r="B101" s="33">
        <v>42697</v>
      </c>
      <c r="C101" s="38" t="s">
        <v>382</v>
      </c>
      <c r="D101" s="158" t="s">
        <v>253</v>
      </c>
      <c r="E101" s="36"/>
      <c r="F101" s="148"/>
      <c r="G101" s="36"/>
      <c r="H101" s="136"/>
      <c r="I101" s="34"/>
      <c r="J101" s="36"/>
      <c r="K101" s="36"/>
      <c r="L101" s="36"/>
      <c r="M101" s="36"/>
      <c r="N101" s="36"/>
      <c r="O101" s="36"/>
      <c r="P101" s="36"/>
      <c r="Q101" s="394"/>
      <c r="R101" s="400"/>
      <c r="S101" s="395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>
        <v>216</v>
      </c>
      <c r="AF101" s="394"/>
      <c r="AG101" s="394"/>
      <c r="AH101" s="396"/>
      <c r="AI101" s="482">
        <f t="shared" si="3"/>
        <v>216</v>
      </c>
      <c r="AJ101" s="14" t="str">
        <f t="shared" si="4"/>
        <v>Bacs</v>
      </c>
    </row>
    <row r="102" spans="1:36" ht="12">
      <c r="A102" s="391">
        <v>103</v>
      </c>
      <c r="B102" s="33">
        <v>42692</v>
      </c>
      <c r="C102" s="38" t="s">
        <v>383</v>
      </c>
      <c r="D102" s="158" t="s">
        <v>253</v>
      </c>
      <c r="E102" s="36"/>
      <c r="F102" s="148"/>
      <c r="G102" s="36"/>
      <c r="H102" s="136"/>
      <c r="I102" s="34"/>
      <c r="J102" s="36"/>
      <c r="K102" s="36"/>
      <c r="L102" s="36"/>
      <c r="M102" s="36"/>
      <c r="N102" s="36"/>
      <c r="O102" s="36"/>
      <c r="P102" s="36"/>
      <c r="Q102" s="394"/>
      <c r="R102" s="400"/>
      <c r="S102" s="395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>
        <v>320</v>
      </c>
      <c r="AD102" s="394"/>
      <c r="AE102" s="394"/>
      <c r="AF102" s="394"/>
      <c r="AG102" s="394"/>
      <c r="AH102" s="396"/>
      <c r="AI102" s="482">
        <f t="shared" si="3"/>
        <v>320</v>
      </c>
      <c r="AJ102" s="14" t="str">
        <f t="shared" si="4"/>
        <v>Bacs</v>
      </c>
    </row>
    <row r="103" spans="1:36" ht="12">
      <c r="A103" s="54">
        <v>104</v>
      </c>
      <c r="B103" s="33">
        <v>42692</v>
      </c>
      <c r="C103" s="38" t="s">
        <v>384</v>
      </c>
      <c r="D103" s="158" t="s">
        <v>253</v>
      </c>
      <c r="E103" s="36">
        <v>3162.63</v>
      </c>
      <c r="F103" s="148"/>
      <c r="G103" s="36"/>
      <c r="H103" s="136"/>
      <c r="I103" s="34"/>
      <c r="J103" s="36"/>
      <c r="K103" s="36"/>
      <c r="L103" s="36"/>
      <c r="M103" s="36"/>
      <c r="N103" s="36"/>
      <c r="O103" s="36"/>
      <c r="P103" s="36"/>
      <c r="Q103" s="394"/>
      <c r="R103" s="400"/>
      <c r="S103" s="395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6"/>
      <c r="AI103" s="482">
        <f t="shared" si="3"/>
        <v>3162.63</v>
      </c>
      <c r="AJ103" s="14" t="str">
        <f t="shared" si="4"/>
        <v>Bacs</v>
      </c>
    </row>
    <row r="104" spans="1:36" ht="12">
      <c r="A104" s="391">
        <v>105</v>
      </c>
      <c r="B104" s="33">
        <v>42692</v>
      </c>
      <c r="C104" s="38" t="s">
        <v>385</v>
      </c>
      <c r="D104" s="158" t="s">
        <v>253</v>
      </c>
      <c r="E104" s="36"/>
      <c r="F104" s="148"/>
      <c r="G104" s="36"/>
      <c r="H104" s="136"/>
      <c r="I104" s="34"/>
      <c r="J104" s="36"/>
      <c r="K104" s="36"/>
      <c r="L104" s="36"/>
      <c r="M104" s="36"/>
      <c r="N104" s="36"/>
      <c r="O104" s="36"/>
      <c r="P104" s="36"/>
      <c r="Q104" s="394"/>
      <c r="R104" s="400"/>
      <c r="S104" s="395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>
        <v>582</v>
      </c>
      <c r="AD104" s="394"/>
      <c r="AE104" s="394"/>
      <c r="AF104" s="394"/>
      <c r="AG104" s="394"/>
      <c r="AH104" s="396"/>
      <c r="AI104" s="482">
        <f t="shared" si="3"/>
        <v>582</v>
      </c>
      <c r="AJ104" s="14" t="str">
        <f t="shared" si="4"/>
        <v>Bacs</v>
      </c>
    </row>
    <row r="105" spans="1:36" ht="12">
      <c r="A105" s="54">
        <v>106</v>
      </c>
      <c r="B105" s="33">
        <v>42691</v>
      </c>
      <c r="C105" s="38" t="s">
        <v>315</v>
      </c>
      <c r="D105" s="158">
        <v>3914</v>
      </c>
      <c r="E105" s="36"/>
      <c r="F105" s="148"/>
      <c r="G105" s="36"/>
      <c r="H105" s="136"/>
      <c r="I105" s="34"/>
      <c r="J105" s="36"/>
      <c r="K105" s="36"/>
      <c r="L105" s="36"/>
      <c r="M105" s="36"/>
      <c r="N105" s="36"/>
      <c r="O105" s="36"/>
      <c r="P105" s="36"/>
      <c r="Q105" s="394"/>
      <c r="R105" s="400"/>
      <c r="S105" s="395"/>
      <c r="T105" s="394"/>
      <c r="U105" s="394"/>
      <c r="V105" s="394"/>
      <c r="W105" s="394"/>
      <c r="X105" s="394"/>
      <c r="Y105" s="394">
        <v>150</v>
      </c>
      <c r="Z105" s="394"/>
      <c r="AA105" s="394"/>
      <c r="AB105" s="394"/>
      <c r="AC105" s="394"/>
      <c r="AD105" s="394"/>
      <c r="AE105" s="394"/>
      <c r="AF105" s="394"/>
      <c r="AG105" s="394"/>
      <c r="AH105" s="396"/>
      <c r="AI105" s="482">
        <f t="shared" si="3"/>
        <v>150</v>
      </c>
      <c r="AJ105" s="14">
        <f t="shared" si="4"/>
        <v>3914</v>
      </c>
    </row>
    <row r="106" spans="1:36" ht="12">
      <c r="A106" s="391">
        <v>107</v>
      </c>
      <c r="B106" s="259">
        <v>42692</v>
      </c>
      <c r="C106" s="297" t="s">
        <v>386</v>
      </c>
      <c r="D106" s="296" t="s">
        <v>253</v>
      </c>
      <c r="E106" s="260"/>
      <c r="F106" s="261"/>
      <c r="G106" s="260"/>
      <c r="H106" s="262"/>
      <c r="I106" s="39"/>
      <c r="J106" s="260"/>
      <c r="K106" s="260"/>
      <c r="L106" s="260"/>
      <c r="M106" s="260"/>
      <c r="N106" s="260"/>
      <c r="O106" s="260"/>
      <c r="P106" s="260"/>
      <c r="Q106" s="401"/>
      <c r="R106" s="400"/>
      <c r="S106" s="400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>
        <v>1820</v>
      </c>
      <c r="AF106" s="401"/>
      <c r="AG106" s="401"/>
      <c r="AH106" s="402"/>
      <c r="AI106" s="504">
        <f t="shared" si="3"/>
        <v>1820</v>
      </c>
      <c r="AJ106" s="14" t="str">
        <f t="shared" si="4"/>
        <v>Bacs</v>
      </c>
    </row>
    <row r="107" spans="1:36" ht="12">
      <c r="A107" s="54">
        <v>108</v>
      </c>
      <c r="B107" s="33">
        <v>42699</v>
      </c>
      <c r="C107" s="38" t="s">
        <v>386</v>
      </c>
      <c r="D107" s="158" t="s">
        <v>253</v>
      </c>
      <c r="E107" s="36"/>
      <c r="F107" s="148"/>
      <c r="G107" s="36"/>
      <c r="H107" s="136"/>
      <c r="I107" s="34"/>
      <c r="J107" s="36"/>
      <c r="K107" s="36"/>
      <c r="L107" s="36"/>
      <c r="M107" s="36"/>
      <c r="N107" s="36"/>
      <c r="O107" s="36"/>
      <c r="P107" s="36"/>
      <c r="Q107" s="394"/>
      <c r="R107" s="395"/>
      <c r="S107" s="395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>
        <v>124.5</v>
      </c>
      <c r="AF107" s="394"/>
      <c r="AG107" s="394"/>
      <c r="AH107" s="396"/>
      <c r="AI107" s="482">
        <f t="shared" si="3"/>
        <v>124.5</v>
      </c>
      <c r="AJ107" s="14" t="str">
        <f t="shared" si="4"/>
        <v>Bacs</v>
      </c>
    </row>
    <row r="108" spans="1:36" ht="12">
      <c r="A108" s="391">
        <v>109</v>
      </c>
      <c r="B108" s="33">
        <v>42691</v>
      </c>
      <c r="C108" s="38" t="s">
        <v>252</v>
      </c>
      <c r="D108" s="158">
        <v>3915</v>
      </c>
      <c r="E108" s="36"/>
      <c r="F108" s="148"/>
      <c r="G108" s="36"/>
      <c r="H108" s="136"/>
      <c r="I108" s="34"/>
      <c r="J108" s="36"/>
      <c r="K108" s="36"/>
      <c r="L108" s="36"/>
      <c r="M108" s="36"/>
      <c r="N108" s="36"/>
      <c r="O108" s="36"/>
      <c r="P108" s="36"/>
      <c r="Q108" s="394"/>
      <c r="R108" s="395"/>
      <c r="S108" s="395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>
        <v>300</v>
      </c>
      <c r="AD108" s="394"/>
      <c r="AE108" s="394"/>
      <c r="AF108" s="394"/>
      <c r="AG108" s="394"/>
      <c r="AH108" s="396"/>
      <c r="AI108" s="482">
        <f t="shared" si="3"/>
        <v>300</v>
      </c>
      <c r="AJ108" s="14">
        <f t="shared" si="4"/>
        <v>3915</v>
      </c>
    </row>
    <row r="109" spans="1:36" ht="12">
      <c r="A109" s="54">
        <v>110</v>
      </c>
      <c r="B109" s="33">
        <v>42699</v>
      </c>
      <c r="C109" s="38" t="s">
        <v>387</v>
      </c>
      <c r="D109" s="158" t="s">
        <v>253</v>
      </c>
      <c r="E109" s="36"/>
      <c r="F109" s="148"/>
      <c r="G109" s="36"/>
      <c r="H109" s="136"/>
      <c r="I109" s="34"/>
      <c r="J109" s="36"/>
      <c r="K109" s="36"/>
      <c r="L109" s="36"/>
      <c r="M109" s="36"/>
      <c r="N109" s="36"/>
      <c r="O109" s="36"/>
      <c r="P109" s="36"/>
      <c r="Q109" s="394"/>
      <c r="R109" s="395"/>
      <c r="S109" s="395"/>
      <c r="T109" s="394"/>
      <c r="U109" s="394"/>
      <c r="V109" s="394"/>
      <c r="W109" s="394"/>
      <c r="X109" s="394"/>
      <c r="Y109" s="394"/>
      <c r="Z109" s="394"/>
      <c r="AA109" s="394"/>
      <c r="AB109" s="394">
        <v>390</v>
      </c>
      <c r="AC109" s="394"/>
      <c r="AD109" s="394"/>
      <c r="AE109" s="394"/>
      <c r="AF109" s="394"/>
      <c r="AG109" s="394"/>
      <c r="AH109" s="396"/>
      <c r="AI109" s="482">
        <f t="shared" si="3"/>
        <v>390</v>
      </c>
      <c r="AJ109" s="14" t="str">
        <f t="shared" si="4"/>
        <v>Bacs</v>
      </c>
    </row>
    <row r="110" spans="1:36" ht="12">
      <c r="A110" s="391">
        <v>111</v>
      </c>
      <c r="B110" s="33">
        <v>42699</v>
      </c>
      <c r="C110" s="38" t="s">
        <v>230</v>
      </c>
      <c r="D110" s="158" t="s">
        <v>253</v>
      </c>
      <c r="E110" s="36"/>
      <c r="F110" s="148"/>
      <c r="G110" s="36">
        <v>800</v>
      </c>
      <c r="H110" s="136"/>
      <c r="I110" s="34"/>
      <c r="J110" s="36"/>
      <c r="K110" s="36"/>
      <c r="L110" s="36"/>
      <c r="M110" s="36"/>
      <c r="N110" s="36"/>
      <c r="O110" s="36"/>
      <c r="P110" s="36"/>
      <c r="Q110" s="394"/>
      <c r="R110" s="395"/>
      <c r="S110" s="395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6"/>
      <c r="AI110" s="482">
        <f t="shared" si="3"/>
        <v>800</v>
      </c>
      <c r="AJ110" s="14" t="str">
        <f t="shared" si="4"/>
        <v>Bacs</v>
      </c>
    </row>
    <row r="111" spans="1:36" ht="12">
      <c r="A111" s="54">
        <v>112</v>
      </c>
      <c r="B111" s="33">
        <v>42707</v>
      </c>
      <c r="C111" s="38" t="s">
        <v>388</v>
      </c>
      <c r="D111" s="158"/>
      <c r="E111" s="36"/>
      <c r="F111" s="148"/>
      <c r="G111" s="36"/>
      <c r="H111" s="136"/>
      <c r="I111" s="34"/>
      <c r="J111" s="36"/>
      <c r="K111" s="36"/>
      <c r="L111" s="36"/>
      <c r="M111" s="36"/>
      <c r="N111" s="36"/>
      <c r="O111" s="36"/>
      <c r="P111" s="36"/>
      <c r="Q111" s="394">
        <v>3879</v>
      </c>
      <c r="R111" s="395"/>
      <c r="S111" s="395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6"/>
      <c r="AI111" s="482">
        <f t="shared" si="3"/>
        <v>3879</v>
      </c>
      <c r="AJ111" s="14">
        <f t="shared" si="4"/>
        <v>0</v>
      </c>
    </row>
    <row r="112" spans="1:36" ht="12">
      <c r="A112" s="391">
        <v>113</v>
      </c>
      <c r="B112" s="33">
        <v>42707</v>
      </c>
      <c r="C112" s="38" t="s">
        <v>393</v>
      </c>
      <c r="D112" s="158"/>
      <c r="E112" s="36"/>
      <c r="F112" s="148"/>
      <c r="G112" s="36"/>
      <c r="H112" s="136"/>
      <c r="I112" s="34"/>
      <c r="J112" s="36"/>
      <c r="K112" s="36"/>
      <c r="L112" s="36"/>
      <c r="M112" s="36"/>
      <c r="N112" s="36"/>
      <c r="O112" s="36"/>
      <c r="P112" s="36"/>
      <c r="Q112" s="394"/>
      <c r="R112" s="395"/>
      <c r="S112" s="395"/>
      <c r="T112" s="394"/>
      <c r="U112" s="394"/>
      <c r="V112" s="394"/>
      <c r="W112" s="394"/>
      <c r="X112" s="394"/>
      <c r="Y112" s="394"/>
      <c r="Z112" s="394"/>
      <c r="AA112" s="394"/>
      <c r="AB112" s="394">
        <v>2658</v>
      </c>
      <c r="AC112" s="394"/>
      <c r="AD112" s="394"/>
      <c r="AE112" s="394"/>
      <c r="AF112" s="394"/>
      <c r="AG112" s="394"/>
      <c r="AH112" s="396"/>
      <c r="AI112" s="482">
        <f t="shared" si="3"/>
        <v>2658</v>
      </c>
      <c r="AJ112" s="14">
        <f t="shared" si="4"/>
        <v>0</v>
      </c>
    </row>
    <row r="113" spans="1:36" ht="12">
      <c r="A113" s="54">
        <v>114</v>
      </c>
      <c r="B113" s="33">
        <v>42707</v>
      </c>
      <c r="C113" s="38" t="s">
        <v>389</v>
      </c>
      <c r="D113" s="158">
        <v>3916</v>
      </c>
      <c r="E113" s="36"/>
      <c r="F113" s="148"/>
      <c r="G113" s="36"/>
      <c r="H113" s="136"/>
      <c r="I113" s="34"/>
      <c r="J113" s="36"/>
      <c r="K113" s="36"/>
      <c r="L113" s="36"/>
      <c r="M113" s="36"/>
      <c r="N113" s="36"/>
      <c r="O113" s="36"/>
      <c r="P113" s="36"/>
      <c r="Q113" s="394">
        <v>840</v>
      </c>
      <c r="R113" s="395"/>
      <c r="S113" s="395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6"/>
      <c r="AI113" s="482">
        <f t="shared" si="3"/>
        <v>840</v>
      </c>
      <c r="AJ113" s="14">
        <f t="shared" si="4"/>
        <v>3916</v>
      </c>
    </row>
    <row r="114" spans="1:37" ht="12">
      <c r="A114" s="391">
        <v>115</v>
      </c>
      <c r="B114" s="33">
        <v>42707</v>
      </c>
      <c r="C114" s="38" t="s">
        <v>394</v>
      </c>
      <c r="D114" s="158"/>
      <c r="E114" s="36"/>
      <c r="F114" s="148"/>
      <c r="G114" s="36"/>
      <c r="H114" s="136"/>
      <c r="I114" s="34"/>
      <c r="J114" s="36"/>
      <c r="K114" s="36"/>
      <c r="L114" s="36"/>
      <c r="M114" s="36"/>
      <c r="N114" s="36"/>
      <c r="O114" s="36"/>
      <c r="P114" s="36"/>
      <c r="Q114" s="394"/>
      <c r="R114" s="395"/>
      <c r="S114" s="395"/>
      <c r="T114" s="394"/>
      <c r="U114" s="394"/>
      <c r="V114" s="394"/>
      <c r="W114" s="394"/>
      <c r="X114" s="394"/>
      <c r="Y114" s="394"/>
      <c r="Z114" s="394"/>
      <c r="AA114" s="394"/>
      <c r="AB114" s="394">
        <v>2658</v>
      </c>
      <c r="AC114" s="394"/>
      <c r="AD114" s="394"/>
      <c r="AE114" s="394"/>
      <c r="AF114" s="394"/>
      <c r="AG114" s="394"/>
      <c r="AH114" s="396"/>
      <c r="AI114" s="482">
        <f t="shared" si="3"/>
        <v>2658</v>
      </c>
      <c r="AJ114" s="14">
        <f t="shared" si="4"/>
        <v>0</v>
      </c>
      <c r="AK114" s="7" t="s">
        <v>258</v>
      </c>
    </row>
    <row r="115" spans="1:36" ht="12">
      <c r="A115" s="54">
        <v>116</v>
      </c>
      <c r="B115" s="33">
        <v>42707</v>
      </c>
      <c r="C115" s="38" t="s">
        <v>390</v>
      </c>
      <c r="D115" s="158"/>
      <c r="E115" s="36"/>
      <c r="F115" s="148"/>
      <c r="G115" s="36"/>
      <c r="H115" s="136"/>
      <c r="I115" s="34"/>
      <c r="J115" s="36"/>
      <c r="K115" s="36">
        <v>465.5</v>
      </c>
      <c r="L115" s="36"/>
      <c r="M115" s="36"/>
      <c r="N115" s="36"/>
      <c r="O115" s="36"/>
      <c r="P115" s="36"/>
      <c r="Q115" s="394"/>
      <c r="R115" s="395"/>
      <c r="S115" s="395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6"/>
      <c r="AI115" s="482">
        <f t="shared" si="3"/>
        <v>465.5</v>
      </c>
      <c r="AJ115" s="14">
        <f t="shared" si="4"/>
        <v>0</v>
      </c>
    </row>
    <row r="116" spans="1:36" ht="12">
      <c r="A116" s="391">
        <v>117</v>
      </c>
      <c r="B116" s="33">
        <v>42707</v>
      </c>
      <c r="C116" s="38" t="s">
        <v>391</v>
      </c>
      <c r="D116" s="158"/>
      <c r="E116" s="36"/>
      <c r="F116" s="148"/>
      <c r="G116" s="36"/>
      <c r="H116" s="136"/>
      <c r="I116" s="34"/>
      <c r="J116" s="36"/>
      <c r="K116" s="36"/>
      <c r="L116" s="36"/>
      <c r="M116" s="36"/>
      <c r="N116" s="36"/>
      <c r="O116" s="36"/>
      <c r="P116" s="36"/>
      <c r="Q116" s="394"/>
      <c r="R116" s="395"/>
      <c r="S116" s="395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>
        <v>24</v>
      </c>
      <c r="AG116" s="394"/>
      <c r="AH116" s="396"/>
      <c r="AI116" s="482">
        <f t="shared" si="3"/>
        <v>24</v>
      </c>
      <c r="AJ116" s="14">
        <f t="shared" si="4"/>
        <v>0</v>
      </c>
    </row>
    <row r="117" spans="1:36" ht="12">
      <c r="A117" s="54">
        <v>118</v>
      </c>
      <c r="B117" s="33">
        <v>42707</v>
      </c>
      <c r="C117" s="38" t="s">
        <v>392</v>
      </c>
      <c r="D117" s="158"/>
      <c r="E117" s="36"/>
      <c r="F117" s="148"/>
      <c r="G117" s="36"/>
      <c r="H117" s="136"/>
      <c r="I117" s="34"/>
      <c r="J117" s="36"/>
      <c r="K117" s="36"/>
      <c r="L117" s="36"/>
      <c r="M117" s="36"/>
      <c r="N117" s="36"/>
      <c r="O117" s="36"/>
      <c r="P117" s="36"/>
      <c r="Q117" s="394"/>
      <c r="R117" s="395"/>
      <c r="S117" s="395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>
        <v>23.2</v>
      </c>
      <c r="AG117" s="394"/>
      <c r="AH117" s="396"/>
      <c r="AI117" s="482">
        <f t="shared" si="3"/>
        <v>23.2</v>
      </c>
      <c r="AJ117" s="14">
        <f t="shared" si="4"/>
        <v>0</v>
      </c>
    </row>
    <row r="118" spans="1:36" ht="12">
      <c r="A118" s="391">
        <v>119</v>
      </c>
      <c r="B118" s="33">
        <v>43092</v>
      </c>
      <c r="C118" s="38" t="s">
        <v>396</v>
      </c>
      <c r="D118" s="158" t="s">
        <v>253</v>
      </c>
      <c r="E118" s="36">
        <v>3083.88</v>
      </c>
      <c r="F118" s="148"/>
      <c r="G118" s="36"/>
      <c r="H118" s="136"/>
      <c r="I118" s="34"/>
      <c r="J118" s="36"/>
      <c r="K118" s="36"/>
      <c r="L118" s="36"/>
      <c r="M118" s="36"/>
      <c r="N118" s="36"/>
      <c r="O118" s="36"/>
      <c r="P118" s="36"/>
      <c r="Q118" s="394"/>
      <c r="R118" s="395"/>
      <c r="S118" s="395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6"/>
      <c r="AI118" s="482">
        <f t="shared" si="3"/>
        <v>3083.88</v>
      </c>
      <c r="AJ118" s="14" t="str">
        <f t="shared" si="4"/>
        <v>Bacs</v>
      </c>
    </row>
    <row r="119" spans="1:36" ht="12">
      <c r="A119" s="54">
        <v>120</v>
      </c>
      <c r="B119" s="33">
        <v>43092</v>
      </c>
      <c r="C119" s="38" t="s">
        <v>397</v>
      </c>
      <c r="D119" s="158" t="s">
        <v>253</v>
      </c>
      <c r="E119" s="36"/>
      <c r="F119" s="148"/>
      <c r="G119" s="36"/>
      <c r="H119" s="136"/>
      <c r="I119" s="34"/>
      <c r="J119" s="36"/>
      <c r="K119" s="36"/>
      <c r="L119" s="36"/>
      <c r="M119" s="36"/>
      <c r="N119" s="36"/>
      <c r="O119" s="36">
        <v>16.2</v>
      </c>
      <c r="P119" s="36"/>
      <c r="Q119" s="394"/>
      <c r="R119" s="400"/>
      <c r="S119" s="395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6"/>
      <c r="AI119" s="482">
        <f t="shared" si="3"/>
        <v>16.2</v>
      </c>
      <c r="AJ119" s="14" t="str">
        <f t="shared" si="4"/>
        <v>Bacs</v>
      </c>
    </row>
    <row r="120" spans="1:36" ht="12">
      <c r="A120" s="391">
        <v>121</v>
      </c>
      <c r="B120" s="33">
        <v>43092</v>
      </c>
      <c r="C120" s="38" t="s">
        <v>387</v>
      </c>
      <c r="D120" s="158" t="s">
        <v>253</v>
      </c>
      <c r="E120" s="36"/>
      <c r="F120" s="148"/>
      <c r="G120" s="36"/>
      <c r="H120" s="136"/>
      <c r="I120" s="34"/>
      <c r="J120" s="36"/>
      <c r="K120" s="36"/>
      <c r="L120" s="36"/>
      <c r="M120" s="36"/>
      <c r="N120" s="36"/>
      <c r="O120" s="36"/>
      <c r="P120" s="36"/>
      <c r="Q120" s="394"/>
      <c r="R120" s="400"/>
      <c r="S120" s="395"/>
      <c r="T120" s="394"/>
      <c r="U120" s="394"/>
      <c r="V120" s="394"/>
      <c r="W120" s="394"/>
      <c r="X120" s="394"/>
      <c r="Y120" s="394"/>
      <c r="Z120" s="394"/>
      <c r="AA120" s="394"/>
      <c r="AB120" s="394">
        <v>165</v>
      </c>
      <c r="AC120" s="394"/>
      <c r="AD120" s="394"/>
      <c r="AE120" s="394"/>
      <c r="AF120" s="394"/>
      <c r="AG120" s="394"/>
      <c r="AH120" s="396"/>
      <c r="AI120" s="482">
        <f t="shared" si="3"/>
        <v>165</v>
      </c>
      <c r="AJ120" s="14" t="str">
        <f t="shared" si="4"/>
        <v>Bacs</v>
      </c>
    </row>
    <row r="121" spans="1:36" ht="12">
      <c r="A121" s="54">
        <v>122</v>
      </c>
      <c r="B121" s="33">
        <v>43092</v>
      </c>
      <c r="C121" s="38" t="s">
        <v>398</v>
      </c>
      <c r="D121" s="295" t="s">
        <v>253</v>
      </c>
      <c r="E121" s="36"/>
      <c r="F121" s="148"/>
      <c r="G121" s="36"/>
      <c r="H121" s="136"/>
      <c r="I121" s="34"/>
      <c r="J121" s="36"/>
      <c r="K121" s="36"/>
      <c r="L121" s="36"/>
      <c r="M121" s="36"/>
      <c r="N121" s="36"/>
      <c r="O121" s="36"/>
      <c r="P121" s="36"/>
      <c r="Q121" s="394"/>
      <c r="R121" s="400"/>
      <c r="S121" s="395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>
        <v>30.8</v>
      </c>
      <c r="AG121" s="394"/>
      <c r="AH121" s="396"/>
      <c r="AI121" s="482">
        <f t="shared" si="3"/>
        <v>30.8</v>
      </c>
      <c r="AJ121" s="14" t="str">
        <f t="shared" si="4"/>
        <v>Bacs</v>
      </c>
    </row>
    <row r="122" spans="1:36" ht="12">
      <c r="A122" s="391">
        <v>123</v>
      </c>
      <c r="B122" s="33">
        <v>43092</v>
      </c>
      <c r="C122" s="38" t="s">
        <v>390</v>
      </c>
      <c r="D122" s="158" t="s">
        <v>253</v>
      </c>
      <c r="E122" s="36"/>
      <c r="F122" s="148"/>
      <c r="G122" s="36"/>
      <c r="H122" s="136"/>
      <c r="I122" s="34"/>
      <c r="J122" s="36"/>
      <c r="K122" s="36">
        <v>465.5</v>
      </c>
      <c r="L122" s="36"/>
      <c r="M122" s="36"/>
      <c r="N122" s="36"/>
      <c r="O122" s="36"/>
      <c r="P122" s="36"/>
      <c r="Q122" s="394"/>
      <c r="R122" s="400"/>
      <c r="S122" s="395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6"/>
      <c r="AI122" s="482">
        <f t="shared" si="3"/>
        <v>465.5</v>
      </c>
      <c r="AJ122" s="14" t="str">
        <f t="shared" si="4"/>
        <v>Bacs</v>
      </c>
    </row>
    <row r="123" spans="1:36" ht="12">
      <c r="A123" s="54">
        <v>124</v>
      </c>
      <c r="B123" s="33">
        <v>43092</v>
      </c>
      <c r="C123" s="38" t="s">
        <v>246</v>
      </c>
      <c r="D123" s="158" t="s">
        <v>253</v>
      </c>
      <c r="E123" s="36"/>
      <c r="F123" s="148"/>
      <c r="G123" s="36"/>
      <c r="H123" s="136"/>
      <c r="I123" s="34">
        <v>48.19</v>
      </c>
      <c r="J123" s="36"/>
      <c r="K123" s="36"/>
      <c r="L123" s="36"/>
      <c r="M123" s="36"/>
      <c r="N123" s="36"/>
      <c r="O123" s="36"/>
      <c r="P123" s="36"/>
      <c r="Q123" s="394"/>
      <c r="R123" s="400"/>
      <c r="S123" s="395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6"/>
      <c r="AI123" s="482">
        <f t="shared" si="3"/>
        <v>48.19</v>
      </c>
      <c r="AJ123" s="14" t="str">
        <f t="shared" si="4"/>
        <v>Bacs</v>
      </c>
    </row>
    <row r="124" spans="1:36" ht="12">
      <c r="A124" s="391">
        <v>125</v>
      </c>
      <c r="B124" s="33">
        <v>43084</v>
      </c>
      <c r="C124" s="38" t="s">
        <v>223</v>
      </c>
      <c r="D124" s="158" t="s">
        <v>222</v>
      </c>
      <c r="E124" s="36"/>
      <c r="F124" s="148"/>
      <c r="G124" s="36">
        <v>220.68</v>
      </c>
      <c r="H124" s="136"/>
      <c r="I124" s="34"/>
      <c r="J124" s="36"/>
      <c r="K124" s="36"/>
      <c r="L124" s="36"/>
      <c r="M124" s="36"/>
      <c r="N124" s="36"/>
      <c r="O124" s="36"/>
      <c r="P124" s="36"/>
      <c r="Q124" s="394"/>
      <c r="R124" s="400"/>
      <c r="S124" s="395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6"/>
      <c r="AI124" s="482">
        <f t="shared" si="3"/>
        <v>220.68</v>
      </c>
      <c r="AJ124" s="14" t="str">
        <f t="shared" si="4"/>
        <v>DD</v>
      </c>
    </row>
    <row r="125" spans="1:36" ht="12">
      <c r="A125" s="54">
        <v>126</v>
      </c>
      <c r="B125" s="33">
        <v>42743</v>
      </c>
      <c r="C125" s="38" t="s">
        <v>252</v>
      </c>
      <c r="D125" s="158">
        <v>3917</v>
      </c>
      <c r="E125" s="36"/>
      <c r="F125" s="148"/>
      <c r="G125" s="36"/>
      <c r="H125" s="136"/>
      <c r="I125" s="34"/>
      <c r="J125" s="36"/>
      <c r="K125" s="36"/>
      <c r="L125" s="36"/>
      <c r="M125" s="36"/>
      <c r="N125" s="36"/>
      <c r="O125" s="36"/>
      <c r="P125" s="36"/>
      <c r="Q125" s="394"/>
      <c r="R125" s="400"/>
      <c r="S125" s="395"/>
      <c r="T125" s="394"/>
      <c r="U125" s="394"/>
      <c r="V125" s="394"/>
      <c r="W125" s="394"/>
      <c r="X125" s="394"/>
      <c r="Y125" s="394"/>
      <c r="Z125" s="394"/>
      <c r="AA125" s="394"/>
      <c r="AB125" s="394">
        <v>190</v>
      </c>
      <c r="AC125" s="394"/>
      <c r="AD125" s="394"/>
      <c r="AE125" s="394"/>
      <c r="AF125" s="394"/>
      <c r="AG125" s="394"/>
      <c r="AH125" s="396"/>
      <c r="AI125" s="482">
        <f t="shared" si="3"/>
        <v>190</v>
      </c>
      <c r="AJ125" s="14">
        <f t="shared" si="4"/>
        <v>3917</v>
      </c>
    </row>
    <row r="126" spans="1:36" ht="12">
      <c r="A126" s="391">
        <v>127</v>
      </c>
      <c r="B126" s="33">
        <v>43044</v>
      </c>
      <c r="C126" s="56" t="s">
        <v>326</v>
      </c>
      <c r="D126" s="157" t="s">
        <v>222</v>
      </c>
      <c r="E126" s="36"/>
      <c r="F126" s="148">
        <v>77</v>
      </c>
      <c r="G126" s="36"/>
      <c r="H126" s="136"/>
      <c r="I126" s="34"/>
      <c r="J126" s="36"/>
      <c r="K126" s="36"/>
      <c r="L126" s="36"/>
      <c r="M126" s="36"/>
      <c r="N126" s="36"/>
      <c r="O126" s="36"/>
      <c r="P126" s="36"/>
      <c r="Q126" s="394"/>
      <c r="R126" s="400"/>
      <c r="S126" s="395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6"/>
      <c r="AI126" s="482">
        <f t="shared" si="3"/>
        <v>77</v>
      </c>
      <c r="AJ126" s="14" t="str">
        <f t="shared" si="4"/>
        <v>DD</v>
      </c>
    </row>
    <row r="127" spans="1:36" ht="12">
      <c r="A127" s="54">
        <v>128</v>
      </c>
      <c r="B127" s="33">
        <v>43074</v>
      </c>
      <c r="C127" s="56" t="s">
        <v>326</v>
      </c>
      <c r="D127" s="157" t="s">
        <v>222</v>
      </c>
      <c r="E127" s="36"/>
      <c r="F127" s="148">
        <v>77</v>
      </c>
      <c r="G127" s="36"/>
      <c r="H127" s="136"/>
      <c r="I127" s="34"/>
      <c r="J127" s="36"/>
      <c r="K127" s="36"/>
      <c r="L127" s="36"/>
      <c r="M127" s="36"/>
      <c r="N127" s="36"/>
      <c r="O127" s="36"/>
      <c r="P127" s="36"/>
      <c r="Q127" s="394"/>
      <c r="R127" s="400"/>
      <c r="S127" s="395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6"/>
      <c r="AI127" s="482">
        <f t="shared" si="3"/>
        <v>77</v>
      </c>
      <c r="AJ127" s="14" t="str">
        <f t="shared" si="4"/>
        <v>DD</v>
      </c>
    </row>
    <row r="128" spans="1:36" ht="12">
      <c r="A128" s="391">
        <v>129</v>
      </c>
      <c r="B128" s="33">
        <v>43074</v>
      </c>
      <c r="C128" s="56" t="s">
        <v>319</v>
      </c>
      <c r="D128" s="157" t="s">
        <v>222</v>
      </c>
      <c r="E128" s="36"/>
      <c r="F128" s="148"/>
      <c r="G128" s="36"/>
      <c r="H128" s="136">
        <v>11</v>
      </c>
      <c r="I128" s="34"/>
      <c r="J128" s="36">
        <f>120+38.4+79.4+213.76</f>
        <v>451.56</v>
      </c>
      <c r="K128" s="36"/>
      <c r="L128" s="36"/>
      <c r="M128" s="36"/>
      <c r="N128" s="36"/>
      <c r="O128" s="36"/>
      <c r="P128" s="36"/>
      <c r="Q128" s="394"/>
      <c r="R128" s="400"/>
      <c r="S128" s="395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>
        <v>752.25</v>
      </c>
      <c r="AF128" s="394"/>
      <c r="AG128" s="394"/>
      <c r="AH128" s="396"/>
      <c r="AI128" s="482">
        <f t="shared" si="3"/>
        <v>1214.81</v>
      </c>
      <c r="AJ128" s="14" t="str">
        <f t="shared" si="4"/>
        <v>DD</v>
      </c>
    </row>
    <row r="129" spans="1:36" ht="12">
      <c r="A129" s="54">
        <v>130</v>
      </c>
      <c r="B129" s="33">
        <v>42740</v>
      </c>
      <c r="C129" s="56" t="s">
        <v>326</v>
      </c>
      <c r="D129" s="157" t="s">
        <v>222</v>
      </c>
      <c r="E129" s="36"/>
      <c r="F129" s="148">
        <v>77</v>
      </c>
      <c r="G129" s="36"/>
      <c r="H129" s="136"/>
      <c r="I129" s="34"/>
      <c r="J129" s="36"/>
      <c r="K129" s="36"/>
      <c r="L129" s="36"/>
      <c r="M129" s="36"/>
      <c r="N129" s="36"/>
      <c r="O129" s="36"/>
      <c r="P129" s="36"/>
      <c r="Q129" s="394"/>
      <c r="R129" s="400"/>
      <c r="S129" s="395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6"/>
      <c r="AI129" s="482">
        <f t="shared" si="3"/>
        <v>77</v>
      </c>
      <c r="AJ129" s="14" t="str">
        <f t="shared" si="4"/>
        <v>DD</v>
      </c>
    </row>
    <row r="130" spans="1:36" ht="12">
      <c r="A130" s="391">
        <v>131</v>
      </c>
      <c r="B130" s="33">
        <v>42740</v>
      </c>
      <c r="C130" s="27" t="s">
        <v>319</v>
      </c>
      <c r="D130" s="157" t="s">
        <v>222</v>
      </c>
      <c r="E130" s="36"/>
      <c r="F130" s="148"/>
      <c r="G130" s="36"/>
      <c r="H130" s="136"/>
      <c r="I130" s="34"/>
      <c r="J130" s="36"/>
      <c r="K130" s="36">
        <v>505.75</v>
      </c>
      <c r="L130" s="36"/>
      <c r="M130" s="36"/>
      <c r="N130" s="36"/>
      <c r="O130" s="36"/>
      <c r="P130" s="36"/>
      <c r="Q130" s="394"/>
      <c r="R130" s="400"/>
      <c r="S130" s="395">
        <f>107.99+74.99</f>
        <v>182.98</v>
      </c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>
        <f>295.29+308.92+51.48+49.46</f>
        <v>705.1500000000001</v>
      </c>
      <c r="AF130" s="394"/>
      <c r="AG130" s="394"/>
      <c r="AH130" s="396"/>
      <c r="AI130" s="482">
        <f t="shared" si="3"/>
        <v>1393.88</v>
      </c>
      <c r="AJ130" s="14" t="str">
        <f t="shared" si="4"/>
        <v>DD</v>
      </c>
    </row>
    <row r="131" spans="1:36" ht="12">
      <c r="A131" s="54">
        <v>132</v>
      </c>
      <c r="B131" s="259">
        <v>42745</v>
      </c>
      <c r="C131" s="56" t="s">
        <v>249</v>
      </c>
      <c r="D131" s="157" t="s">
        <v>253</v>
      </c>
      <c r="E131" s="260"/>
      <c r="F131" s="261"/>
      <c r="G131" s="260"/>
      <c r="H131" s="262"/>
      <c r="I131" s="39"/>
      <c r="J131" s="260"/>
      <c r="K131" s="260">
        <v>68.9</v>
      </c>
      <c r="L131" s="260"/>
      <c r="M131" s="260"/>
      <c r="N131" s="260"/>
      <c r="O131" s="260"/>
      <c r="P131" s="260"/>
      <c r="Q131" s="401"/>
      <c r="R131" s="400"/>
      <c r="S131" s="400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2"/>
      <c r="AI131" s="482">
        <f t="shared" si="3"/>
        <v>68.9</v>
      </c>
      <c r="AJ131" s="14" t="str">
        <f t="shared" si="4"/>
        <v>Bacs</v>
      </c>
    </row>
    <row r="132" spans="1:36" ht="12">
      <c r="A132" s="391">
        <v>133</v>
      </c>
      <c r="B132" s="33">
        <v>42745</v>
      </c>
      <c r="C132" s="56" t="s">
        <v>228</v>
      </c>
      <c r="D132" s="157" t="s">
        <v>253</v>
      </c>
      <c r="E132" s="260"/>
      <c r="F132" s="261"/>
      <c r="G132" s="260">
        <v>300</v>
      </c>
      <c r="H132" s="262"/>
      <c r="I132" s="39"/>
      <c r="J132" s="260"/>
      <c r="K132" s="260"/>
      <c r="L132" s="260"/>
      <c r="M132" s="260"/>
      <c r="N132" s="260"/>
      <c r="O132" s="260"/>
      <c r="P132" s="260"/>
      <c r="Q132" s="401"/>
      <c r="R132" s="400"/>
      <c r="S132" s="400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2"/>
      <c r="AI132" s="504">
        <f t="shared" si="3"/>
        <v>300</v>
      </c>
      <c r="AJ132" s="14" t="str">
        <f t="shared" si="4"/>
        <v>Bacs</v>
      </c>
    </row>
    <row r="133" spans="1:36" ht="12">
      <c r="A133" s="54">
        <v>134</v>
      </c>
      <c r="B133" s="259">
        <v>42745</v>
      </c>
      <c r="C133" s="56" t="s">
        <v>329</v>
      </c>
      <c r="D133" s="157" t="s">
        <v>253</v>
      </c>
      <c r="E133" s="36"/>
      <c r="F133" s="148"/>
      <c r="G133" s="36"/>
      <c r="H133" s="136"/>
      <c r="I133" s="34"/>
      <c r="J133" s="36"/>
      <c r="K133" s="36"/>
      <c r="L133" s="36"/>
      <c r="M133" s="36"/>
      <c r="N133" s="36"/>
      <c r="O133" s="36"/>
      <c r="P133" s="36"/>
      <c r="Q133" s="394"/>
      <c r="R133" s="395"/>
      <c r="S133" s="395">
        <v>651</v>
      </c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6"/>
      <c r="AI133" s="482">
        <f t="shared" si="3"/>
        <v>651</v>
      </c>
      <c r="AJ133" s="14" t="str">
        <f t="shared" si="4"/>
        <v>Bacs</v>
      </c>
    </row>
    <row r="134" spans="1:36" ht="12">
      <c r="A134" s="54">
        <v>135</v>
      </c>
      <c r="B134" s="33">
        <v>42745</v>
      </c>
      <c r="C134" s="56" t="s">
        <v>255</v>
      </c>
      <c r="D134" s="157" t="s">
        <v>253</v>
      </c>
      <c r="E134" s="36"/>
      <c r="F134" s="148"/>
      <c r="G134" s="36"/>
      <c r="H134" s="136"/>
      <c r="I134" s="34"/>
      <c r="J134" s="36"/>
      <c r="K134" s="36"/>
      <c r="L134" s="36"/>
      <c r="M134" s="36"/>
      <c r="N134" s="36"/>
      <c r="O134" s="36"/>
      <c r="P134" s="36"/>
      <c r="Q134" s="394"/>
      <c r="R134" s="395"/>
      <c r="S134" s="395"/>
      <c r="T134" s="394"/>
      <c r="U134" s="394"/>
      <c r="V134" s="394"/>
      <c r="W134" s="394"/>
      <c r="X134" s="394"/>
      <c r="Y134" s="394"/>
      <c r="Z134" s="394"/>
      <c r="AA134" s="394"/>
      <c r="AB134" s="394">
        <v>132</v>
      </c>
      <c r="AC134" s="394"/>
      <c r="AD134" s="394"/>
      <c r="AE134" s="394"/>
      <c r="AF134" s="394"/>
      <c r="AG134" s="394"/>
      <c r="AH134" s="396"/>
      <c r="AI134" s="482">
        <f aca="true" t="shared" si="5" ref="AI134:AI197">SUM(E134:AH134)</f>
        <v>132</v>
      </c>
      <c r="AJ134" s="14" t="str">
        <f t="shared" si="4"/>
        <v>Bacs</v>
      </c>
    </row>
    <row r="135" spans="1:36" ht="12">
      <c r="A135" s="54">
        <v>136</v>
      </c>
      <c r="B135" s="259">
        <v>42745</v>
      </c>
      <c r="C135" s="27" t="s">
        <v>400</v>
      </c>
      <c r="D135" s="157" t="s">
        <v>253</v>
      </c>
      <c r="E135" s="36"/>
      <c r="F135" s="148"/>
      <c r="G135" s="36"/>
      <c r="H135" s="136"/>
      <c r="I135" s="34"/>
      <c r="J135" s="36"/>
      <c r="K135" s="36"/>
      <c r="L135" s="36"/>
      <c r="M135" s="36"/>
      <c r="N135" s="36"/>
      <c r="O135" s="36"/>
      <c r="P135" s="36"/>
      <c r="Q135" s="394"/>
      <c r="R135" s="395"/>
      <c r="S135" s="395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>
        <v>94.62</v>
      </c>
      <c r="AF135" s="394"/>
      <c r="AG135" s="394"/>
      <c r="AH135" s="396"/>
      <c r="AI135" s="482">
        <f t="shared" si="5"/>
        <v>94.62</v>
      </c>
      <c r="AJ135" s="14" t="str">
        <f t="shared" si="4"/>
        <v>Bacs</v>
      </c>
    </row>
    <row r="136" spans="1:36" ht="12">
      <c r="A136" s="54">
        <v>137</v>
      </c>
      <c r="B136" s="33">
        <v>42745</v>
      </c>
      <c r="C136" s="27" t="s">
        <v>401</v>
      </c>
      <c r="D136" s="157" t="s">
        <v>253</v>
      </c>
      <c r="E136" s="36"/>
      <c r="F136" s="148"/>
      <c r="G136" s="36"/>
      <c r="H136" s="136"/>
      <c r="I136" s="34"/>
      <c r="J136" s="36"/>
      <c r="K136" s="36"/>
      <c r="L136" s="36"/>
      <c r="M136" s="36"/>
      <c r="N136" s="36"/>
      <c r="O136" s="36"/>
      <c r="P136" s="36"/>
      <c r="Q136" s="394"/>
      <c r="R136" s="395"/>
      <c r="S136" s="395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>
        <v>37.6</v>
      </c>
      <c r="AF136" s="394"/>
      <c r="AG136" s="394"/>
      <c r="AH136" s="396"/>
      <c r="AI136" s="482">
        <f t="shared" si="5"/>
        <v>37.6</v>
      </c>
      <c r="AJ136" s="14" t="str">
        <f t="shared" si="4"/>
        <v>Bacs</v>
      </c>
    </row>
    <row r="137" spans="1:36" ht="12">
      <c r="A137" s="54">
        <v>138</v>
      </c>
      <c r="B137" s="259">
        <v>42745</v>
      </c>
      <c r="C137" s="56" t="s">
        <v>403</v>
      </c>
      <c r="D137" s="157" t="s">
        <v>253</v>
      </c>
      <c r="E137" s="36"/>
      <c r="F137" s="148"/>
      <c r="G137" s="36"/>
      <c r="H137" s="136"/>
      <c r="I137" s="34"/>
      <c r="J137" s="36"/>
      <c r="K137" s="36"/>
      <c r="L137" s="36"/>
      <c r="M137" s="36"/>
      <c r="N137" s="36"/>
      <c r="O137" s="36"/>
      <c r="P137" s="36"/>
      <c r="Q137" s="394"/>
      <c r="R137" s="395"/>
      <c r="S137" s="395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>
        <v>54</v>
      </c>
      <c r="AF137" s="394"/>
      <c r="AG137" s="394"/>
      <c r="AH137" s="396"/>
      <c r="AI137" s="482">
        <f t="shared" si="5"/>
        <v>54</v>
      </c>
      <c r="AJ137" s="14" t="str">
        <f aca="true" t="shared" si="6" ref="AJ137:AJ224">D137</f>
        <v>Bacs</v>
      </c>
    </row>
    <row r="138" spans="1:36" ht="12">
      <c r="A138" s="54">
        <v>139</v>
      </c>
      <c r="B138" s="33">
        <v>42745</v>
      </c>
      <c r="C138" s="27" t="s">
        <v>402</v>
      </c>
      <c r="D138" s="157" t="s">
        <v>253</v>
      </c>
      <c r="E138" s="36"/>
      <c r="F138" s="148"/>
      <c r="G138" s="36"/>
      <c r="H138" s="136"/>
      <c r="I138" s="34"/>
      <c r="J138" s="36"/>
      <c r="K138" s="36"/>
      <c r="L138" s="36"/>
      <c r="M138" s="36"/>
      <c r="N138" s="36"/>
      <c r="O138" s="36"/>
      <c r="P138" s="36"/>
      <c r="Q138" s="394"/>
      <c r="R138" s="395"/>
      <c r="S138" s="395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>
        <v>44</v>
      </c>
      <c r="AF138" s="394"/>
      <c r="AG138" s="394"/>
      <c r="AH138" s="396"/>
      <c r="AI138" s="482">
        <f t="shared" si="5"/>
        <v>44</v>
      </c>
      <c r="AJ138" s="14" t="str">
        <f t="shared" si="6"/>
        <v>Bacs</v>
      </c>
    </row>
    <row r="139" spans="1:36" ht="12">
      <c r="A139" s="54">
        <v>140</v>
      </c>
      <c r="B139" s="259">
        <v>42745</v>
      </c>
      <c r="C139" s="27" t="s">
        <v>225</v>
      </c>
      <c r="D139" s="157">
        <v>3918</v>
      </c>
      <c r="E139" s="36"/>
      <c r="F139" s="148"/>
      <c r="G139" s="36"/>
      <c r="H139" s="136"/>
      <c r="I139" s="34"/>
      <c r="J139" s="36"/>
      <c r="K139" s="36"/>
      <c r="L139" s="36"/>
      <c r="M139" s="36"/>
      <c r="N139" s="36"/>
      <c r="O139" s="36"/>
      <c r="P139" s="36"/>
      <c r="Q139" s="394"/>
      <c r="R139" s="395"/>
      <c r="S139" s="395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>
        <v>76.6</v>
      </c>
      <c r="AG139" s="394"/>
      <c r="AH139" s="396"/>
      <c r="AI139" s="482">
        <f t="shared" si="5"/>
        <v>76.6</v>
      </c>
      <c r="AJ139" s="14">
        <f t="shared" si="6"/>
        <v>3918</v>
      </c>
    </row>
    <row r="140" spans="1:36" ht="12">
      <c r="A140" s="54">
        <v>141</v>
      </c>
      <c r="B140" s="33">
        <v>42745</v>
      </c>
      <c r="C140" s="56" t="s">
        <v>242</v>
      </c>
      <c r="D140" s="157">
        <v>3919</v>
      </c>
      <c r="E140" s="36"/>
      <c r="F140" s="148">
        <v>2125</v>
      </c>
      <c r="G140" s="36"/>
      <c r="H140" s="136"/>
      <c r="I140" s="34"/>
      <c r="J140" s="36"/>
      <c r="K140" s="36"/>
      <c r="L140" s="36"/>
      <c r="M140" s="36"/>
      <c r="N140" s="36"/>
      <c r="O140" s="36"/>
      <c r="P140" s="36"/>
      <c r="Q140" s="394"/>
      <c r="R140" s="395"/>
      <c r="S140" s="395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6"/>
      <c r="AI140" s="482">
        <f t="shared" si="5"/>
        <v>2125</v>
      </c>
      <c r="AJ140" s="14">
        <f t="shared" si="6"/>
        <v>3919</v>
      </c>
    </row>
    <row r="141" spans="1:36" ht="12">
      <c r="A141" s="54">
        <v>142</v>
      </c>
      <c r="B141" s="259">
        <v>42745</v>
      </c>
      <c r="C141" s="56" t="s">
        <v>404</v>
      </c>
      <c r="D141" s="157">
        <v>3920</v>
      </c>
      <c r="E141" s="36"/>
      <c r="F141" s="148"/>
      <c r="G141" s="36"/>
      <c r="H141" s="136"/>
      <c r="I141" s="34"/>
      <c r="J141" s="36"/>
      <c r="K141" s="36"/>
      <c r="L141" s="36"/>
      <c r="M141" s="36"/>
      <c r="N141" s="36"/>
      <c r="O141" s="36"/>
      <c r="P141" s="36"/>
      <c r="Q141" s="394"/>
      <c r="R141" s="395"/>
      <c r="S141" s="395">
        <v>840</v>
      </c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6"/>
      <c r="AI141" s="482">
        <f t="shared" si="5"/>
        <v>840</v>
      </c>
      <c r="AJ141" s="14">
        <f t="shared" si="6"/>
        <v>3920</v>
      </c>
    </row>
    <row r="142" spans="1:36" ht="12">
      <c r="A142" s="54">
        <v>143</v>
      </c>
      <c r="B142" s="33">
        <v>42760</v>
      </c>
      <c r="C142" s="27" t="s">
        <v>417</v>
      </c>
      <c r="D142" s="157" t="s">
        <v>253</v>
      </c>
      <c r="E142" s="36">
        <v>3083.88</v>
      </c>
      <c r="F142" s="148"/>
      <c r="G142" s="36"/>
      <c r="H142" s="136"/>
      <c r="I142" s="34"/>
      <c r="J142" s="36"/>
      <c r="K142" s="36"/>
      <c r="L142" s="36"/>
      <c r="M142" s="36"/>
      <c r="N142" s="36"/>
      <c r="O142" s="36"/>
      <c r="P142" s="36"/>
      <c r="Q142" s="394"/>
      <c r="R142" s="395"/>
      <c r="S142" s="395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6"/>
      <c r="AI142" s="482">
        <f t="shared" si="5"/>
        <v>3083.88</v>
      </c>
      <c r="AJ142" s="14" t="str">
        <f t="shared" si="6"/>
        <v>Bacs</v>
      </c>
    </row>
    <row r="143" spans="1:36" ht="12">
      <c r="A143" s="54">
        <v>144</v>
      </c>
      <c r="B143" s="259">
        <v>42760</v>
      </c>
      <c r="C143" s="27" t="s">
        <v>224</v>
      </c>
      <c r="D143" s="157" t="s">
        <v>253</v>
      </c>
      <c r="E143" s="34"/>
      <c r="F143" s="148"/>
      <c r="G143" s="36"/>
      <c r="H143" s="136"/>
      <c r="I143" s="34">
        <v>138.16</v>
      </c>
      <c r="J143" s="36"/>
      <c r="K143" s="36"/>
      <c r="L143" s="36"/>
      <c r="M143" s="36"/>
      <c r="N143" s="36"/>
      <c r="O143" s="36"/>
      <c r="P143" s="36"/>
      <c r="Q143" s="394"/>
      <c r="R143" s="395"/>
      <c r="S143" s="395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6"/>
      <c r="AI143" s="482">
        <f t="shared" si="5"/>
        <v>138.16</v>
      </c>
      <c r="AJ143" s="14" t="str">
        <f t="shared" si="6"/>
        <v>Bacs</v>
      </c>
    </row>
    <row r="144" spans="1:36" ht="12">
      <c r="A144" s="54">
        <v>145</v>
      </c>
      <c r="B144" s="33">
        <v>42755</v>
      </c>
      <c r="C144" s="27" t="s">
        <v>229</v>
      </c>
      <c r="D144" s="157" t="s">
        <v>253</v>
      </c>
      <c r="E144" s="36"/>
      <c r="F144" s="148"/>
      <c r="G144" s="36"/>
      <c r="H144" s="136"/>
      <c r="I144" s="34"/>
      <c r="J144" s="36"/>
      <c r="K144" s="36"/>
      <c r="L144" s="36"/>
      <c r="M144" s="36"/>
      <c r="N144" s="36"/>
      <c r="O144" s="36"/>
      <c r="P144" s="36"/>
      <c r="Q144" s="394"/>
      <c r="R144" s="395"/>
      <c r="S144" s="395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>
        <v>176.4</v>
      </c>
      <c r="AF144" s="394"/>
      <c r="AG144" s="394"/>
      <c r="AH144" s="396"/>
      <c r="AI144" s="482">
        <f t="shared" si="5"/>
        <v>176.4</v>
      </c>
      <c r="AJ144" s="14" t="str">
        <f t="shared" si="6"/>
        <v>Bacs</v>
      </c>
    </row>
    <row r="145" spans="1:36" ht="12">
      <c r="A145" s="54">
        <v>146</v>
      </c>
      <c r="B145" s="259">
        <v>42758</v>
      </c>
      <c r="C145" s="27" t="s">
        <v>230</v>
      </c>
      <c r="D145" s="157" t="s">
        <v>253</v>
      </c>
      <c r="E145" s="36"/>
      <c r="F145" s="148"/>
      <c r="G145" s="36">
        <v>800</v>
      </c>
      <c r="H145" s="136"/>
      <c r="I145" s="34"/>
      <c r="J145" s="36"/>
      <c r="K145" s="36"/>
      <c r="L145" s="36"/>
      <c r="M145" s="36"/>
      <c r="N145" s="36"/>
      <c r="O145" s="36"/>
      <c r="P145" s="36"/>
      <c r="Q145" s="394"/>
      <c r="R145" s="395"/>
      <c r="S145" s="395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6"/>
      <c r="AI145" s="482">
        <f t="shared" si="5"/>
        <v>800</v>
      </c>
      <c r="AJ145" s="14" t="str">
        <f t="shared" si="6"/>
        <v>Bacs</v>
      </c>
    </row>
    <row r="146" spans="1:36" ht="12">
      <c r="A146" s="54">
        <v>147</v>
      </c>
      <c r="B146" s="33">
        <v>43099</v>
      </c>
      <c r="C146" s="38" t="s">
        <v>56</v>
      </c>
      <c r="D146" s="157" t="s">
        <v>253</v>
      </c>
      <c r="E146" s="36"/>
      <c r="F146" s="148"/>
      <c r="G146" s="36"/>
      <c r="H146" s="136"/>
      <c r="I146" s="34"/>
      <c r="J146" s="36"/>
      <c r="K146" s="36"/>
      <c r="L146" s="36"/>
      <c r="M146" s="36"/>
      <c r="N146" s="36"/>
      <c r="O146" s="36"/>
      <c r="P146" s="36">
        <v>53.92</v>
      </c>
      <c r="Q146" s="394"/>
      <c r="R146" s="395"/>
      <c r="S146" s="395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6"/>
      <c r="AI146" s="482">
        <f t="shared" si="5"/>
        <v>53.92</v>
      </c>
      <c r="AJ146" s="14" t="str">
        <f t="shared" si="6"/>
        <v>Bacs</v>
      </c>
    </row>
    <row r="147" spans="1:36" ht="12">
      <c r="A147" s="54">
        <v>148</v>
      </c>
      <c r="B147" s="259">
        <v>42854</v>
      </c>
      <c r="C147" s="27" t="s">
        <v>56</v>
      </c>
      <c r="D147" s="157" t="s">
        <v>222</v>
      </c>
      <c r="E147" s="36"/>
      <c r="F147" s="148"/>
      <c r="G147" s="36"/>
      <c r="H147" s="136"/>
      <c r="I147" s="34"/>
      <c r="J147" s="36"/>
      <c r="K147" s="36"/>
      <c r="L147" s="36"/>
      <c r="M147" s="36"/>
      <c r="N147" s="36"/>
      <c r="O147" s="36"/>
      <c r="P147" s="36">
        <v>51.73</v>
      </c>
      <c r="Q147" s="394"/>
      <c r="R147" s="395"/>
      <c r="S147" s="395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6"/>
      <c r="AI147" s="482">
        <f t="shared" si="5"/>
        <v>51.73</v>
      </c>
      <c r="AJ147" s="14" t="str">
        <f t="shared" si="6"/>
        <v>DD</v>
      </c>
    </row>
    <row r="148" spans="1:36" ht="12">
      <c r="A148" s="54">
        <v>149</v>
      </c>
      <c r="B148" s="33">
        <v>42978</v>
      </c>
      <c r="C148" s="27" t="s">
        <v>56</v>
      </c>
      <c r="D148" s="157" t="s">
        <v>222</v>
      </c>
      <c r="E148" s="36"/>
      <c r="F148" s="148"/>
      <c r="G148" s="36"/>
      <c r="H148" s="136"/>
      <c r="I148" s="34"/>
      <c r="J148" s="36"/>
      <c r="K148" s="36"/>
      <c r="L148" s="36"/>
      <c r="M148" s="36"/>
      <c r="N148" s="36"/>
      <c r="O148" s="36"/>
      <c r="P148" s="36">
        <v>30.36</v>
      </c>
      <c r="Q148" s="394"/>
      <c r="R148" s="395"/>
      <c r="S148" s="395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6"/>
      <c r="AI148" s="482">
        <f t="shared" si="5"/>
        <v>30.36</v>
      </c>
      <c r="AJ148" s="14" t="str">
        <f t="shared" si="6"/>
        <v>DD</v>
      </c>
    </row>
    <row r="149" spans="1:36" ht="12">
      <c r="A149" s="54">
        <v>150</v>
      </c>
      <c r="B149" s="259">
        <v>43039</v>
      </c>
      <c r="C149" s="27" t="s">
        <v>56</v>
      </c>
      <c r="D149" s="157" t="s">
        <v>222</v>
      </c>
      <c r="E149" s="36"/>
      <c r="F149" s="148"/>
      <c r="G149" s="36"/>
      <c r="H149" s="136"/>
      <c r="I149" s="34"/>
      <c r="J149" s="36"/>
      <c r="K149" s="36"/>
      <c r="L149" s="36"/>
      <c r="M149" s="36"/>
      <c r="N149" s="36"/>
      <c r="O149" s="36"/>
      <c r="P149" s="36">
        <v>19.98</v>
      </c>
      <c r="Q149" s="394"/>
      <c r="R149" s="395"/>
      <c r="S149" s="395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6"/>
      <c r="AI149" s="482">
        <f t="shared" si="5"/>
        <v>19.98</v>
      </c>
      <c r="AJ149" s="14" t="str">
        <f t="shared" si="6"/>
        <v>DD</v>
      </c>
    </row>
    <row r="150" spans="1:36" ht="12">
      <c r="A150" s="54">
        <v>151</v>
      </c>
      <c r="B150" s="33">
        <v>43069</v>
      </c>
      <c r="C150" s="7" t="s">
        <v>56</v>
      </c>
      <c r="D150" s="157" t="s">
        <v>222</v>
      </c>
      <c r="E150" s="36"/>
      <c r="F150" s="148"/>
      <c r="G150" s="36"/>
      <c r="H150" s="136"/>
      <c r="I150" s="34"/>
      <c r="J150" s="36"/>
      <c r="K150" s="36"/>
      <c r="L150" s="36"/>
      <c r="M150" s="36"/>
      <c r="N150" s="36"/>
      <c r="O150" s="36"/>
      <c r="P150" s="36">
        <v>68.19</v>
      </c>
      <c r="Q150" s="394"/>
      <c r="R150" s="395"/>
      <c r="S150" s="395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6"/>
      <c r="AI150" s="482">
        <f t="shared" si="5"/>
        <v>68.19</v>
      </c>
      <c r="AJ150" s="14" t="str">
        <f t="shared" si="6"/>
        <v>DD</v>
      </c>
    </row>
    <row r="151" spans="1:38" ht="12">
      <c r="A151" s="54">
        <v>152</v>
      </c>
      <c r="B151" s="259">
        <v>43047</v>
      </c>
      <c r="C151" s="27" t="s">
        <v>223</v>
      </c>
      <c r="D151" s="157" t="s">
        <v>222</v>
      </c>
      <c r="E151" s="36"/>
      <c r="F151" s="148"/>
      <c r="G151" s="36">
        <v>110.28</v>
      </c>
      <c r="H151" s="136"/>
      <c r="I151" s="34"/>
      <c r="J151" s="36"/>
      <c r="K151" s="36"/>
      <c r="L151" s="36"/>
      <c r="M151" s="36"/>
      <c r="N151" s="36"/>
      <c r="O151" s="36"/>
      <c r="P151" s="36"/>
      <c r="Q151" s="394"/>
      <c r="R151" s="395"/>
      <c r="S151" s="395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6"/>
      <c r="AI151" s="482">
        <f t="shared" si="5"/>
        <v>110.28</v>
      </c>
      <c r="AJ151" s="14" t="str">
        <f t="shared" si="6"/>
        <v>DD</v>
      </c>
      <c r="AK151" s="6">
        <f>SUM(AI6:AI151)</f>
        <v>99936.7</v>
      </c>
      <c r="AL151" s="7" t="s">
        <v>457</v>
      </c>
    </row>
    <row r="152" spans="1:36" ht="12">
      <c r="A152" s="54">
        <v>153</v>
      </c>
      <c r="B152" s="33">
        <v>42772</v>
      </c>
      <c r="C152" s="473" t="s">
        <v>507</v>
      </c>
      <c r="D152" s="157" t="s">
        <v>253</v>
      </c>
      <c r="E152" s="36"/>
      <c r="F152" s="148"/>
      <c r="G152" s="36"/>
      <c r="H152" s="136"/>
      <c r="I152" s="34"/>
      <c r="J152" s="36"/>
      <c r="K152" s="36"/>
      <c r="L152" s="36"/>
      <c r="M152" s="36"/>
      <c r="N152" s="36"/>
      <c r="O152" s="36"/>
      <c r="P152" s="36"/>
      <c r="Q152" s="394"/>
      <c r="R152" s="395"/>
      <c r="S152" s="395"/>
      <c r="T152" s="394"/>
      <c r="U152" s="394"/>
      <c r="V152" s="394">
        <v>3546.34</v>
      </c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6"/>
      <c r="AI152" s="471">
        <f t="shared" si="5"/>
        <v>3546.34</v>
      </c>
      <c r="AJ152" s="14" t="str">
        <f t="shared" si="6"/>
        <v>Bacs</v>
      </c>
    </row>
    <row r="153" spans="1:36" ht="12">
      <c r="A153" s="54">
        <v>154</v>
      </c>
      <c r="B153" s="259">
        <v>42772</v>
      </c>
      <c r="C153" s="473" t="s">
        <v>470</v>
      </c>
      <c r="D153" s="158">
        <v>3922</v>
      </c>
      <c r="E153" s="36"/>
      <c r="F153" s="148"/>
      <c r="G153" s="36"/>
      <c r="H153" s="136"/>
      <c r="I153" s="34"/>
      <c r="J153" s="36"/>
      <c r="K153" s="36"/>
      <c r="L153" s="36"/>
      <c r="M153" s="36"/>
      <c r="N153" s="36"/>
      <c r="O153" s="36"/>
      <c r="P153" s="36"/>
      <c r="Q153" s="394"/>
      <c r="R153" s="395"/>
      <c r="S153" s="395"/>
      <c r="T153" s="394"/>
      <c r="U153" s="394"/>
      <c r="V153" s="394">
        <v>48</v>
      </c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6"/>
      <c r="AI153" s="482">
        <f t="shared" si="5"/>
        <v>48</v>
      </c>
      <c r="AJ153" s="14">
        <f t="shared" si="6"/>
        <v>3922</v>
      </c>
    </row>
    <row r="154" spans="1:36" ht="12">
      <c r="A154" s="54">
        <v>155</v>
      </c>
      <c r="B154" s="33">
        <v>42772</v>
      </c>
      <c r="C154" s="27" t="s">
        <v>469</v>
      </c>
      <c r="D154" s="157" t="s">
        <v>253</v>
      </c>
      <c r="E154" s="36"/>
      <c r="F154" s="148"/>
      <c r="G154" s="36"/>
      <c r="H154" s="136"/>
      <c r="I154" s="34"/>
      <c r="J154" s="36"/>
      <c r="K154" s="36"/>
      <c r="L154" s="36"/>
      <c r="M154" s="36"/>
      <c r="N154" s="36"/>
      <c r="O154" s="36"/>
      <c r="P154" s="36"/>
      <c r="Q154" s="394"/>
      <c r="R154" s="395"/>
      <c r="S154" s="395"/>
      <c r="T154" s="394"/>
      <c r="U154" s="394"/>
      <c r="V154" s="394"/>
      <c r="W154" s="394"/>
      <c r="X154" s="394">
        <v>967.88</v>
      </c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6"/>
      <c r="AI154" s="471">
        <f t="shared" si="5"/>
        <v>967.88</v>
      </c>
      <c r="AJ154" s="14" t="str">
        <f t="shared" si="6"/>
        <v>Bacs</v>
      </c>
    </row>
    <row r="155" spans="1:37" ht="12">
      <c r="A155" s="54">
        <v>156</v>
      </c>
      <c r="B155" s="259">
        <v>42766</v>
      </c>
      <c r="C155" s="27" t="s">
        <v>255</v>
      </c>
      <c r="D155" s="157" t="s">
        <v>253</v>
      </c>
      <c r="E155" s="36"/>
      <c r="F155" s="148"/>
      <c r="G155" s="36"/>
      <c r="H155" s="136"/>
      <c r="I155" s="34"/>
      <c r="J155" s="36"/>
      <c r="K155" s="36"/>
      <c r="L155" s="36"/>
      <c r="M155" s="36"/>
      <c r="N155" s="36"/>
      <c r="O155" s="36"/>
      <c r="P155" s="36"/>
      <c r="Q155" s="394"/>
      <c r="R155" s="395"/>
      <c r="S155" s="395"/>
      <c r="T155" s="394"/>
      <c r="U155" s="394"/>
      <c r="V155" s="394">
        <v>5298</v>
      </c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6"/>
      <c r="AI155" s="482">
        <f t="shared" si="5"/>
        <v>5298</v>
      </c>
      <c r="AJ155" s="14" t="str">
        <f t="shared" si="6"/>
        <v>Bacs</v>
      </c>
      <c r="AK155" s="308"/>
    </row>
    <row r="156" spans="1:36" ht="12">
      <c r="A156" s="54">
        <v>157</v>
      </c>
      <c r="B156" s="33">
        <v>42766</v>
      </c>
      <c r="C156" s="27" t="s">
        <v>471</v>
      </c>
      <c r="D156" s="157" t="s">
        <v>253</v>
      </c>
      <c r="E156" s="36"/>
      <c r="F156" s="148"/>
      <c r="G156" s="36"/>
      <c r="H156" s="136"/>
      <c r="I156" s="34"/>
      <c r="J156" s="36"/>
      <c r="K156" s="36"/>
      <c r="L156" s="36"/>
      <c r="M156" s="36"/>
      <c r="N156" s="36"/>
      <c r="O156" s="36"/>
      <c r="P156" s="36"/>
      <c r="Q156" s="394"/>
      <c r="R156" s="395"/>
      <c r="S156" s="395"/>
      <c r="T156" s="394"/>
      <c r="U156" s="394"/>
      <c r="V156" s="394">
        <v>12</v>
      </c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6"/>
      <c r="AI156" s="482">
        <f t="shared" si="5"/>
        <v>12</v>
      </c>
      <c r="AJ156" s="14" t="str">
        <f t="shared" si="6"/>
        <v>Bacs</v>
      </c>
    </row>
    <row r="157" spans="1:36" ht="12">
      <c r="A157" s="54">
        <v>158</v>
      </c>
      <c r="B157" s="259">
        <v>42766</v>
      </c>
      <c r="C157" s="7" t="s">
        <v>472</v>
      </c>
      <c r="D157" s="157" t="s">
        <v>253</v>
      </c>
      <c r="E157" s="36"/>
      <c r="F157" s="148"/>
      <c r="G157" s="36"/>
      <c r="H157" s="136"/>
      <c r="I157" s="34"/>
      <c r="J157" s="36"/>
      <c r="K157" s="36"/>
      <c r="L157" s="36"/>
      <c r="M157" s="36"/>
      <c r="N157" s="36"/>
      <c r="O157" s="36"/>
      <c r="P157" s="36"/>
      <c r="Q157" s="394"/>
      <c r="R157" s="395"/>
      <c r="S157" s="395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>
        <v>194.56</v>
      </c>
      <c r="AF157" s="394"/>
      <c r="AG157" s="394"/>
      <c r="AH157" s="396"/>
      <c r="AI157" s="482">
        <f t="shared" si="5"/>
        <v>194.56</v>
      </c>
      <c r="AJ157" s="14" t="str">
        <f t="shared" si="6"/>
        <v>Bacs</v>
      </c>
    </row>
    <row r="158" spans="1:36" ht="12">
      <c r="A158" s="54">
        <v>159</v>
      </c>
      <c r="B158" s="33">
        <v>42766</v>
      </c>
      <c r="C158" s="27" t="s">
        <v>339</v>
      </c>
      <c r="D158" s="157" t="s">
        <v>253</v>
      </c>
      <c r="E158" s="36"/>
      <c r="F158" s="148"/>
      <c r="G158" s="36"/>
      <c r="H158" s="136"/>
      <c r="I158" s="34"/>
      <c r="J158" s="36"/>
      <c r="K158" s="36"/>
      <c r="L158" s="36"/>
      <c r="M158" s="36"/>
      <c r="N158" s="36"/>
      <c r="O158" s="36"/>
      <c r="P158" s="36"/>
      <c r="Q158" s="394"/>
      <c r="R158" s="395"/>
      <c r="S158" s="395"/>
      <c r="T158" s="394"/>
      <c r="U158" s="394"/>
      <c r="V158" s="394">
        <v>294</v>
      </c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6"/>
      <c r="AI158" s="482">
        <f t="shared" si="5"/>
        <v>294</v>
      </c>
      <c r="AJ158" s="14" t="str">
        <f t="shared" si="6"/>
        <v>Bacs</v>
      </c>
    </row>
    <row r="159" spans="1:36" ht="12">
      <c r="A159" s="54">
        <v>160</v>
      </c>
      <c r="B159" s="259">
        <v>42766</v>
      </c>
      <c r="C159" s="27" t="s">
        <v>473</v>
      </c>
      <c r="D159" s="157" t="s">
        <v>253</v>
      </c>
      <c r="E159" s="36"/>
      <c r="F159" s="148"/>
      <c r="G159" s="36"/>
      <c r="H159" s="136"/>
      <c r="I159" s="34"/>
      <c r="J159" s="36"/>
      <c r="K159" s="36"/>
      <c r="L159" s="36"/>
      <c r="M159" s="36"/>
      <c r="N159" s="36"/>
      <c r="O159" s="36"/>
      <c r="P159" s="36"/>
      <c r="Q159" s="394"/>
      <c r="R159" s="395"/>
      <c r="S159" s="395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>
        <v>73.9</v>
      </c>
      <c r="AF159" s="394"/>
      <c r="AG159" s="394"/>
      <c r="AH159" s="396"/>
      <c r="AI159" s="482">
        <f t="shared" si="5"/>
        <v>73.9</v>
      </c>
      <c r="AJ159" s="14" t="str">
        <f t="shared" si="6"/>
        <v>Bacs</v>
      </c>
    </row>
    <row r="160" spans="1:36" ht="12">
      <c r="A160" s="54">
        <v>161</v>
      </c>
      <c r="B160" s="33">
        <v>42766</v>
      </c>
      <c r="C160" s="38" t="s">
        <v>474</v>
      </c>
      <c r="D160" s="158" t="s">
        <v>253</v>
      </c>
      <c r="E160" s="36"/>
      <c r="F160" s="148"/>
      <c r="G160" s="36"/>
      <c r="H160" s="136"/>
      <c r="I160" s="34"/>
      <c r="J160" s="36"/>
      <c r="K160" s="36"/>
      <c r="L160" s="36"/>
      <c r="M160" s="36"/>
      <c r="N160" s="36"/>
      <c r="O160" s="36"/>
      <c r="P160" s="36"/>
      <c r="Q160" s="394"/>
      <c r="R160" s="395"/>
      <c r="S160" s="395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>
        <v>22</v>
      </c>
      <c r="AF160" s="394"/>
      <c r="AG160" s="394"/>
      <c r="AH160" s="396"/>
      <c r="AI160" s="482">
        <f t="shared" si="5"/>
        <v>22</v>
      </c>
      <c r="AJ160" s="14" t="str">
        <f t="shared" si="6"/>
        <v>Bacs</v>
      </c>
    </row>
    <row r="161" spans="1:36" ht="12">
      <c r="A161" s="54">
        <v>162</v>
      </c>
      <c r="B161" s="259">
        <v>42766</v>
      </c>
      <c r="C161" s="27" t="s">
        <v>475</v>
      </c>
      <c r="D161" s="157" t="s">
        <v>253</v>
      </c>
      <c r="E161" s="36"/>
      <c r="F161" s="148"/>
      <c r="G161" s="36"/>
      <c r="H161" s="136"/>
      <c r="I161" s="34"/>
      <c r="J161" s="36"/>
      <c r="K161" s="36"/>
      <c r="L161" s="36"/>
      <c r="M161" s="36"/>
      <c r="N161" s="36"/>
      <c r="O161" s="36"/>
      <c r="P161" s="36"/>
      <c r="Q161" s="394"/>
      <c r="R161" s="395"/>
      <c r="S161" s="395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>
        <v>116.2</v>
      </c>
      <c r="AG161" s="394"/>
      <c r="AH161" s="396"/>
      <c r="AI161" s="482">
        <f t="shared" si="5"/>
        <v>116.2</v>
      </c>
      <c r="AJ161" s="14" t="str">
        <f t="shared" si="6"/>
        <v>Bacs</v>
      </c>
    </row>
    <row r="162" spans="1:36" ht="12">
      <c r="A162" s="54">
        <v>163</v>
      </c>
      <c r="B162" s="33">
        <v>42766</v>
      </c>
      <c r="C162" s="27" t="s">
        <v>476</v>
      </c>
      <c r="D162" s="157" t="s">
        <v>253</v>
      </c>
      <c r="E162" s="36"/>
      <c r="F162" s="148"/>
      <c r="G162" s="36"/>
      <c r="H162" s="136"/>
      <c r="I162" s="34"/>
      <c r="J162" s="36"/>
      <c r="K162" s="36">
        <v>22.95</v>
      </c>
      <c r="L162" s="36"/>
      <c r="M162" s="36"/>
      <c r="N162" s="36"/>
      <c r="O162" s="36"/>
      <c r="P162" s="36"/>
      <c r="Q162" s="394"/>
      <c r="R162" s="395"/>
      <c r="S162" s="395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6"/>
      <c r="AI162" s="482">
        <f t="shared" si="5"/>
        <v>22.95</v>
      </c>
      <c r="AJ162" s="14" t="str">
        <f t="shared" si="6"/>
        <v>Bacs</v>
      </c>
    </row>
    <row r="163" spans="1:36" ht="12">
      <c r="A163" s="54">
        <v>164</v>
      </c>
      <c r="B163" s="259">
        <v>42766</v>
      </c>
      <c r="C163" s="27" t="s">
        <v>477</v>
      </c>
      <c r="D163" s="157" t="s">
        <v>253</v>
      </c>
      <c r="E163" s="36"/>
      <c r="F163" s="148"/>
      <c r="G163" s="36"/>
      <c r="H163" s="136"/>
      <c r="I163" s="34"/>
      <c r="J163" s="36"/>
      <c r="K163" s="36">
        <v>42</v>
      </c>
      <c r="L163" s="36"/>
      <c r="M163" s="36"/>
      <c r="N163" s="36"/>
      <c r="O163" s="36"/>
      <c r="P163" s="36"/>
      <c r="Q163" s="394"/>
      <c r="R163" s="395"/>
      <c r="S163" s="395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6"/>
      <c r="AI163" s="482">
        <f t="shared" si="5"/>
        <v>42</v>
      </c>
      <c r="AJ163" s="14" t="str">
        <f t="shared" si="6"/>
        <v>Bacs</v>
      </c>
    </row>
    <row r="164" spans="1:36" ht="12">
      <c r="A164" s="54">
        <v>165</v>
      </c>
      <c r="B164" s="33">
        <v>42766</v>
      </c>
      <c r="C164" s="7" t="s">
        <v>478</v>
      </c>
      <c r="D164" s="157" t="s">
        <v>253</v>
      </c>
      <c r="E164" s="36"/>
      <c r="F164" s="148"/>
      <c r="G164" s="36"/>
      <c r="H164" s="136"/>
      <c r="I164" s="34"/>
      <c r="J164" s="36"/>
      <c r="K164" s="36">
        <v>31.6</v>
      </c>
      <c r="L164" s="36"/>
      <c r="M164" s="36"/>
      <c r="N164" s="36"/>
      <c r="O164" s="36"/>
      <c r="P164" s="36"/>
      <c r="Q164" s="394"/>
      <c r="R164" s="395"/>
      <c r="S164" s="395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4"/>
      <c r="AH164" s="396"/>
      <c r="AI164" s="482">
        <f t="shared" si="5"/>
        <v>31.6</v>
      </c>
      <c r="AJ164" s="14" t="str">
        <f t="shared" si="6"/>
        <v>Bacs</v>
      </c>
    </row>
    <row r="165" spans="1:36" ht="12">
      <c r="A165" s="54">
        <v>166</v>
      </c>
      <c r="B165" s="259">
        <v>42766</v>
      </c>
      <c r="C165" s="27" t="s">
        <v>370</v>
      </c>
      <c r="D165" s="157" t="s">
        <v>253</v>
      </c>
      <c r="E165" s="36"/>
      <c r="F165" s="148"/>
      <c r="G165" s="36"/>
      <c r="H165" s="136"/>
      <c r="I165" s="34"/>
      <c r="J165" s="36"/>
      <c r="K165" s="36">
        <v>34.8</v>
      </c>
      <c r="L165" s="36"/>
      <c r="M165" s="36"/>
      <c r="N165" s="36"/>
      <c r="O165" s="36"/>
      <c r="P165" s="36"/>
      <c r="Q165" s="394"/>
      <c r="R165" s="395"/>
      <c r="S165" s="395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6"/>
      <c r="AI165" s="482">
        <f t="shared" si="5"/>
        <v>34.8</v>
      </c>
      <c r="AJ165" s="14" t="str">
        <f t="shared" si="6"/>
        <v>Bacs</v>
      </c>
    </row>
    <row r="166" spans="1:36" ht="12">
      <c r="A166" s="54">
        <v>167</v>
      </c>
      <c r="B166" s="33">
        <v>42770</v>
      </c>
      <c r="C166" s="27" t="s">
        <v>479</v>
      </c>
      <c r="D166" s="157">
        <v>3923</v>
      </c>
      <c r="E166" s="36"/>
      <c r="F166" s="148"/>
      <c r="G166" s="36"/>
      <c r="H166" s="136"/>
      <c r="I166" s="34"/>
      <c r="J166" s="36"/>
      <c r="K166" s="36">
        <v>54.6</v>
      </c>
      <c r="L166" s="36"/>
      <c r="M166" s="36"/>
      <c r="N166" s="36"/>
      <c r="O166" s="36"/>
      <c r="P166" s="36"/>
      <c r="Q166" s="394"/>
      <c r="R166" s="395"/>
      <c r="S166" s="395"/>
      <c r="T166" s="394"/>
      <c r="U166" s="394"/>
      <c r="V166" s="394"/>
      <c r="W166" s="394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4"/>
      <c r="AH166" s="396"/>
      <c r="AI166" s="482">
        <f t="shared" si="5"/>
        <v>54.6</v>
      </c>
      <c r="AJ166" s="14">
        <f t="shared" si="6"/>
        <v>3923</v>
      </c>
    </row>
    <row r="167" spans="1:36" ht="12">
      <c r="A167" s="54">
        <v>168</v>
      </c>
      <c r="B167" s="259">
        <v>42770</v>
      </c>
      <c r="C167" s="38" t="s">
        <v>480</v>
      </c>
      <c r="D167" s="158">
        <v>3921</v>
      </c>
      <c r="E167" s="36"/>
      <c r="F167" s="148"/>
      <c r="G167" s="36"/>
      <c r="H167" s="136"/>
      <c r="I167" s="34"/>
      <c r="J167" s="36"/>
      <c r="K167" s="36"/>
      <c r="L167" s="36"/>
      <c r="M167" s="36"/>
      <c r="N167" s="36"/>
      <c r="O167" s="36"/>
      <c r="P167" s="36"/>
      <c r="Q167" s="394"/>
      <c r="R167" s="395"/>
      <c r="S167" s="395"/>
      <c r="T167" s="394"/>
      <c r="U167" s="394"/>
      <c r="V167" s="394"/>
      <c r="W167" s="394"/>
      <c r="X167" s="394">
        <v>438</v>
      </c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6"/>
      <c r="AI167" s="482">
        <f t="shared" si="5"/>
        <v>438</v>
      </c>
      <c r="AJ167" s="14">
        <f t="shared" si="6"/>
        <v>3921</v>
      </c>
    </row>
    <row r="168" spans="1:36" ht="12">
      <c r="A168" s="54">
        <v>169</v>
      </c>
      <c r="B168" s="33">
        <v>42770</v>
      </c>
      <c r="C168" s="38" t="s">
        <v>252</v>
      </c>
      <c r="D168" s="158">
        <v>3924</v>
      </c>
      <c r="E168" s="36"/>
      <c r="F168" s="148"/>
      <c r="G168" s="36"/>
      <c r="H168" s="136"/>
      <c r="I168" s="34"/>
      <c r="J168" s="36"/>
      <c r="K168" s="36"/>
      <c r="L168" s="36"/>
      <c r="M168" s="36"/>
      <c r="N168" s="36"/>
      <c r="O168" s="36"/>
      <c r="P168" s="36"/>
      <c r="Q168" s="394"/>
      <c r="R168" s="395"/>
      <c r="S168" s="395"/>
      <c r="T168" s="394"/>
      <c r="U168" s="394"/>
      <c r="V168" s="394">
        <v>490</v>
      </c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6"/>
      <c r="AI168" s="482">
        <f t="shared" si="5"/>
        <v>490</v>
      </c>
      <c r="AJ168" s="14">
        <f t="shared" si="6"/>
        <v>3924</v>
      </c>
    </row>
    <row r="169" spans="1:36" ht="12">
      <c r="A169" s="54">
        <v>170</v>
      </c>
      <c r="B169" s="259">
        <v>42775</v>
      </c>
      <c r="C169" s="27" t="s">
        <v>482</v>
      </c>
      <c r="D169" s="157" t="s">
        <v>253</v>
      </c>
      <c r="E169" s="36"/>
      <c r="F169" s="148"/>
      <c r="G169" s="36"/>
      <c r="H169" s="136"/>
      <c r="I169" s="34"/>
      <c r="J169" s="36"/>
      <c r="K169" s="36"/>
      <c r="L169" s="36"/>
      <c r="M169" s="36"/>
      <c r="N169" s="36"/>
      <c r="O169" s="36"/>
      <c r="P169" s="36"/>
      <c r="Q169" s="394"/>
      <c r="R169" s="395"/>
      <c r="S169" s="395"/>
      <c r="T169" s="394"/>
      <c r="U169" s="394"/>
      <c r="V169" s="394"/>
      <c r="W169" s="394"/>
      <c r="X169" s="394">
        <v>1680</v>
      </c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6"/>
      <c r="AI169" s="482">
        <f t="shared" si="5"/>
        <v>1680</v>
      </c>
      <c r="AJ169" s="14" t="str">
        <f t="shared" si="6"/>
        <v>Bacs</v>
      </c>
    </row>
    <row r="170" spans="1:36" ht="12">
      <c r="A170" s="54">
        <v>171</v>
      </c>
      <c r="B170" s="33">
        <v>42775</v>
      </c>
      <c r="C170" s="27" t="s">
        <v>483</v>
      </c>
      <c r="D170" s="157" t="s">
        <v>253</v>
      </c>
      <c r="E170" s="36"/>
      <c r="F170" s="148"/>
      <c r="G170" s="36"/>
      <c r="H170" s="136"/>
      <c r="I170" s="34"/>
      <c r="J170" s="36"/>
      <c r="K170" s="36"/>
      <c r="L170" s="36"/>
      <c r="M170" s="36"/>
      <c r="N170" s="36"/>
      <c r="O170" s="36"/>
      <c r="P170" s="36"/>
      <c r="Q170" s="394"/>
      <c r="R170" s="395"/>
      <c r="S170" s="395"/>
      <c r="T170" s="394"/>
      <c r="U170" s="394"/>
      <c r="V170" s="394"/>
      <c r="W170" s="394"/>
      <c r="X170" s="394">
        <v>1925</v>
      </c>
      <c r="Y170" s="394"/>
      <c r="Z170" s="394"/>
      <c r="AA170" s="394"/>
      <c r="AB170" s="394"/>
      <c r="AC170" s="394"/>
      <c r="AD170" s="394"/>
      <c r="AE170" s="394"/>
      <c r="AF170" s="394"/>
      <c r="AG170" s="394"/>
      <c r="AH170" s="396"/>
      <c r="AI170" s="482">
        <f t="shared" si="5"/>
        <v>1925</v>
      </c>
      <c r="AJ170" s="14" t="str">
        <f t="shared" si="6"/>
        <v>Bacs</v>
      </c>
    </row>
    <row r="171" spans="1:36" ht="12">
      <c r="A171" s="54">
        <v>172</v>
      </c>
      <c r="B171" s="259">
        <v>42775</v>
      </c>
      <c r="C171" s="56" t="s">
        <v>251</v>
      </c>
      <c r="D171" s="157" t="s">
        <v>253</v>
      </c>
      <c r="E171" s="36"/>
      <c r="F171" s="148"/>
      <c r="G171" s="36"/>
      <c r="H171" s="136"/>
      <c r="I171" s="34"/>
      <c r="J171" s="36"/>
      <c r="K171" s="36"/>
      <c r="L171" s="36"/>
      <c r="M171" s="36"/>
      <c r="N171" s="36"/>
      <c r="O171" s="36"/>
      <c r="P171" s="36"/>
      <c r="Q171" s="394"/>
      <c r="R171" s="395"/>
      <c r="S171" s="395"/>
      <c r="T171" s="394"/>
      <c r="U171" s="394"/>
      <c r="V171" s="394"/>
      <c r="W171" s="394"/>
      <c r="X171" s="394">
        <v>420</v>
      </c>
      <c r="Y171" s="394"/>
      <c r="Z171" s="394"/>
      <c r="AA171" s="394"/>
      <c r="AB171" s="394"/>
      <c r="AC171" s="394"/>
      <c r="AD171" s="394"/>
      <c r="AE171" s="394"/>
      <c r="AF171" s="394"/>
      <c r="AG171" s="394"/>
      <c r="AH171" s="396"/>
      <c r="AI171" s="482">
        <f t="shared" si="5"/>
        <v>420</v>
      </c>
      <c r="AJ171" s="14" t="str">
        <f t="shared" si="6"/>
        <v>Bacs</v>
      </c>
    </row>
    <row r="172" spans="1:36" ht="12">
      <c r="A172" s="54">
        <v>173</v>
      </c>
      <c r="B172" s="33">
        <v>42775</v>
      </c>
      <c r="C172" s="56" t="s">
        <v>484</v>
      </c>
      <c r="D172" s="157" t="s">
        <v>253</v>
      </c>
      <c r="E172" s="36"/>
      <c r="F172" s="148"/>
      <c r="G172" s="36"/>
      <c r="H172" s="136"/>
      <c r="I172" s="34"/>
      <c r="J172" s="36"/>
      <c r="K172" s="36"/>
      <c r="L172" s="36"/>
      <c r="M172" s="36"/>
      <c r="N172" s="36"/>
      <c r="O172" s="36"/>
      <c r="P172" s="36"/>
      <c r="Q172" s="394"/>
      <c r="R172" s="395"/>
      <c r="S172" s="395"/>
      <c r="T172" s="394"/>
      <c r="U172" s="394"/>
      <c r="V172" s="394"/>
      <c r="W172" s="394"/>
      <c r="X172" s="394">
        <v>3928.86</v>
      </c>
      <c r="Y172" s="394"/>
      <c r="Z172" s="394"/>
      <c r="AA172" s="394"/>
      <c r="AB172" s="394"/>
      <c r="AC172" s="394"/>
      <c r="AD172" s="394"/>
      <c r="AE172" s="394"/>
      <c r="AF172" s="394"/>
      <c r="AG172" s="394"/>
      <c r="AH172" s="396"/>
      <c r="AI172" s="482">
        <f t="shared" si="5"/>
        <v>3928.86</v>
      </c>
      <c r="AJ172" s="14" t="str">
        <f t="shared" si="6"/>
        <v>Bacs</v>
      </c>
    </row>
    <row r="173" spans="1:36" ht="12">
      <c r="A173" s="54">
        <v>174</v>
      </c>
      <c r="B173" s="259">
        <v>42775</v>
      </c>
      <c r="C173" s="56" t="s">
        <v>246</v>
      </c>
      <c r="D173" s="157" t="s">
        <v>253</v>
      </c>
      <c r="E173" s="36"/>
      <c r="F173" s="148"/>
      <c r="G173" s="36"/>
      <c r="H173" s="136"/>
      <c r="I173" s="34">
        <v>84.78</v>
      </c>
      <c r="J173" s="36"/>
      <c r="K173" s="36"/>
      <c r="L173" s="36"/>
      <c r="M173" s="36"/>
      <c r="N173" s="36"/>
      <c r="O173" s="36"/>
      <c r="P173" s="36"/>
      <c r="Q173" s="394"/>
      <c r="R173" s="395"/>
      <c r="S173" s="395"/>
      <c r="T173" s="394"/>
      <c r="U173" s="394"/>
      <c r="V173" s="394"/>
      <c r="W173" s="394"/>
      <c r="X173" s="394"/>
      <c r="Y173" s="394"/>
      <c r="Z173" s="394"/>
      <c r="AA173" s="394"/>
      <c r="AB173" s="394"/>
      <c r="AC173" s="394"/>
      <c r="AD173" s="394"/>
      <c r="AE173" s="394"/>
      <c r="AF173" s="394"/>
      <c r="AG173" s="394"/>
      <c r="AH173" s="396"/>
      <c r="AI173" s="482">
        <f t="shared" si="5"/>
        <v>84.78</v>
      </c>
      <c r="AJ173" s="14" t="str">
        <f t="shared" si="6"/>
        <v>Bacs</v>
      </c>
    </row>
    <row r="174" spans="1:36" ht="12">
      <c r="A174" s="54">
        <v>175</v>
      </c>
      <c r="B174" s="33">
        <v>42775</v>
      </c>
      <c r="C174" s="56" t="s">
        <v>506</v>
      </c>
      <c r="D174" s="157" t="s">
        <v>253</v>
      </c>
      <c r="E174" s="36"/>
      <c r="F174" s="148"/>
      <c r="G174" s="36"/>
      <c r="H174" s="136"/>
      <c r="I174" s="34"/>
      <c r="J174" s="36"/>
      <c r="K174" s="36"/>
      <c r="L174" s="36"/>
      <c r="M174" s="36"/>
      <c r="N174" s="36">
        <v>2190</v>
      </c>
      <c r="O174" s="36"/>
      <c r="P174" s="36"/>
      <c r="Q174" s="394"/>
      <c r="R174" s="395"/>
      <c r="S174" s="395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6"/>
      <c r="AI174" s="482">
        <f t="shared" si="5"/>
        <v>2190</v>
      </c>
      <c r="AJ174" s="14" t="str">
        <f t="shared" si="6"/>
        <v>Bacs</v>
      </c>
    </row>
    <row r="175" spans="1:36" ht="12">
      <c r="A175" s="54">
        <v>177</v>
      </c>
      <c r="B175" s="33">
        <v>42771</v>
      </c>
      <c r="C175" s="56" t="s">
        <v>319</v>
      </c>
      <c r="D175" s="157" t="s">
        <v>222</v>
      </c>
      <c r="E175" s="36"/>
      <c r="F175" s="148"/>
      <c r="G175" s="36"/>
      <c r="H175" s="136"/>
      <c r="I175" s="34"/>
      <c r="J175" s="36">
        <f>102.91+228</f>
        <v>330.90999999999997</v>
      </c>
      <c r="L175" s="36"/>
      <c r="M175" s="36"/>
      <c r="N175" s="36"/>
      <c r="O175" s="36"/>
      <c r="P175" s="36"/>
      <c r="Q175" s="394"/>
      <c r="R175" s="395"/>
      <c r="S175" s="395">
        <v>44.44</v>
      </c>
      <c r="T175" s="394"/>
      <c r="U175" s="394"/>
      <c r="V175" s="394">
        <v>767</v>
      </c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6"/>
      <c r="AI175" s="482">
        <f t="shared" si="5"/>
        <v>1142.35</v>
      </c>
      <c r="AJ175" s="14" t="str">
        <f t="shared" si="6"/>
        <v>DD</v>
      </c>
    </row>
    <row r="176" spans="1:36" ht="12">
      <c r="A176" s="54">
        <v>178</v>
      </c>
      <c r="B176" s="33">
        <v>42774</v>
      </c>
      <c r="C176" s="27" t="s">
        <v>223</v>
      </c>
      <c r="D176" s="157" t="s">
        <v>222</v>
      </c>
      <c r="E176" s="36"/>
      <c r="F176" s="148"/>
      <c r="G176" s="36">
        <v>110.28</v>
      </c>
      <c r="H176" s="136"/>
      <c r="I176" s="34"/>
      <c r="J176" s="36"/>
      <c r="K176" s="36"/>
      <c r="L176" s="36"/>
      <c r="M176" s="36"/>
      <c r="N176" s="36"/>
      <c r="O176" s="36"/>
      <c r="P176" s="36"/>
      <c r="Q176" s="394"/>
      <c r="R176" s="395"/>
      <c r="S176" s="395"/>
      <c r="T176" s="394"/>
      <c r="U176" s="394"/>
      <c r="V176" s="394"/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6"/>
      <c r="AI176" s="482">
        <f t="shared" si="5"/>
        <v>110.28</v>
      </c>
      <c r="AJ176" s="14" t="str">
        <f t="shared" si="6"/>
        <v>DD</v>
      </c>
    </row>
    <row r="177" spans="1:36" ht="12">
      <c r="A177" s="54">
        <v>179</v>
      </c>
      <c r="B177" s="33">
        <v>42776</v>
      </c>
      <c r="C177" s="56" t="s">
        <v>225</v>
      </c>
      <c r="D177" s="571" t="s">
        <v>529</v>
      </c>
      <c r="E177" s="36"/>
      <c r="F177" s="148"/>
      <c r="G177" s="36"/>
      <c r="H177" s="136"/>
      <c r="I177" s="34"/>
      <c r="J177" s="36"/>
      <c r="K177" s="36">
        <f>736.82-V177-X177</f>
        <v>114.48800000000008</v>
      </c>
      <c r="L177" s="36"/>
      <c r="M177" s="36"/>
      <c r="N177" s="36"/>
      <c r="O177" s="36"/>
      <c r="P177" s="36"/>
      <c r="Q177" s="394"/>
      <c r="R177" s="395"/>
      <c r="S177" s="395"/>
      <c r="T177" s="394"/>
      <c r="U177" s="394"/>
      <c r="V177" s="394">
        <f>(323.4+5.5)*1.2</f>
        <v>394.67999999999995</v>
      </c>
      <c r="W177" s="394"/>
      <c r="X177" s="394">
        <f>(168.3+21.41)*1.2</f>
        <v>227.65200000000002</v>
      </c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6"/>
      <c r="AI177" s="482">
        <f t="shared" si="5"/>
        <v>736.82</v>
      </c>
      <c r="AJ177" s="14" t="str">
        <f t="shared" si="6"/>
        <v>3926</v>
      </c>
    </row>
    <row r="178" spans="1:36" ht="12">
      <c r="A178" s="54">
        <v>180</v>
      </c>
      <c r="B178" s="33">
        <v>42783</v>
      </c>
      <c r="C178" s="56" t="s">
        <v>329</v>
      </c>
      <c r="D178" s="157" t="s">
        <v>253</v>
      </c>
      <c r="E178" s="36"/>
      <c r="F178" s="148"/>
      <c r="G178" s="36"/>
      <c r="H178" s="136"/>
      <c r="I178" s="34"/>
      <c r="J178" s="36"/>
      <c r="K178" s="36"/>
      <c r="L178" s="36"/>
      <c r="M178" s="36"/>
      <c r="N178" s="36"/>
      <c r="O178" s="36"/>
      <c r="P178" s="36"/>
      <c r="Q178" s="394"/>
      <c r="R178" s="395"/>
      <c r="S178" s="395">
        <v>290</v>
      </c>
      <c r="T178" s="394"/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6"/>
      <c r="AI178" s="482">
        <f t="shared" si="5"/>
        <v>290</v>
      </c>
      <c r="AJ178" s="14" t="str">
        <f t="shared" si="6"/>
        <v>Bacs</v>
      </c>
    </row>
    <row r="179" spans="1:36" ht="12">
      <c r="A179" s="54">
        <v>181</v>
      </c>
      <c r="B179" s="33">
        <v>42783</v>
      </c>
      <c r="C179" s="27" t="s">
        <v>330</v>
      </c>
      <c r="D179" s="157" t="s">
        <v>253</v>
      </c>
      <c r="E179" s="36"/>
      <c r="F179" s="148"/>
      <c r="G179" s="36"/>
      <c r="H179" s="136"/>
      <c r="I179" s="34"/>
      <c r="J179" s="36"/>
      <c r="K179" s="36"/>
      <c r="L179" s="36"/>
      <c r="M179" s="36"/>
      <c r="N179" s="36"/>
      <c r="O179" s="36"/>
      <c r="P179" s="36"/>
      <c r="Q179" s="394"/>
      <c r="R179" s="395"/>
      <c r="S179" s="395">
        <v>225</v>
      </c>
      <c r="T179" s="394"/>
      <c r="U179" s="394"/>
      <c r="V179" s="394"/>
      <c r="W179" s="394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4"/>
      <c r="AH179" s="396"/>
      <c r="AI179" s="482">
        <f t="shared" si="5"/>
        <v>225</v>
      </c>
      <c r="AJ179" s="14" t="str">
        <f t="shared" si="6"/>
        <v>Bacs</v>
      </c>
    </row>
    <row r="180" spans="1:36" ht="12">
      <c r="A180" s="54">
        <v>182</v>
      </c>
      <c r="B180" s="33">
        <v>42788</v>
      </c>
      <c r="C180" s="27" t="s">
        <v>368</v>
      </c>
      <c r="D180" s="157" t="s">
        <v>253</v>
      </c>
      <c r="E180" s="36"/>
      <c r="F180" s="148"/>
      <c r="G180" s="36"/>
      <c r="H180" s="136"/>
      <c r="I180" s="34"/>
      <c r="J180" s="36"/>
      <c r="K180" s="36">
        <v>342.85</v>
      </c>
      <c r="L180" s="36"/>
      <c r="M180" s="36"/>
      <c r="N180" s="36"/>
      <c r="O180" s="36"/>
      <c r="P180" s="36"/>
      <c r="Q180" s="394"/>
      <c r="R180" s="395"/>
      <c r="S180" s="395"/>
      <c r="T180" s="394"/>
      <c r="U180" s="394"/>
      <c r="V180" s="394"/>
      <c r="W180" s="394"/>
      <c r="X180" s="394"/>
      <c r="Y180" s="394"/>
      <c r="Z180" s="394"/>
      <c r="AA180" s="394"/>
      <c r="AB180" s="394"/>
      <c r="AC180" s="394"/>
      <c r="AD180" s="394"/>
      <c r="AE180" s="394"/>
      <c r="AF180" s="394"/>
      <c r="AG180" s="394"/>
      <c r="AH180" s="396"/>
      <c r="AI180" s="482">
        <f t="shared" si="5"/>
        <v>342.85</v>
      </c>
      <c r="AJ180" s="14" t="str">
        <f t="shared" si="6"/>
        <v>Bacs</v>
      </c>
    </row>
    <row r="181" spans="1:36" ht="12">
      <c r="A181" s="54">
        <v>184</v>
      </c>
      <c r="B181" s="33">
        <v>42788</v>
      </c>
      <c r="C181" s="56" t="s">
        <v>485</v>
      </c>
      <c r="D181" s="157" t="s">
        <v>253</v>
      </c>
      <c r="E181" s="319">
        <v>3455.4</v>
      </c>
      <c r="F181" s="320"/>
      <c r="G181" s="319"/>
      <c r="H181" s="134"/>
      <c r="I181" s="284"/>
      <c r="J181" s="319"/>
      <c r="K181" s="319"/>
      <c r="L181" s="319"/>
      <c r="M181" s="319"/>
      <c r="N181" s="319"/>
      <c r="O181" s="319"/>
      <c r="P181" s="319"/>
      <c r="Q181" s="403"/>
      <c r="R181" s="404"/>
      <c r="S181" s="404"/>
      <c r="T181" s="403"/>
      <c r="U181" s="403"/>
      <c r="V181" s="403"/>
      <c r="W181" s="403"/>
      <c r="X181" s="403"/>
      <c r="Y181" s="403"/>
      <c r="Z181" s="403"/>
      <c r="AA181" s="403"/>
      <c r="AB181" s="403"/>
      <c r="AC181" s="403"/>
      <c r="AD181" s="403"/>
      <c r="AE181" s="403"/>
      <c r="AF181" s="403"/>
      <c r="AG181" s="403"/>
      <c r="AH181" s="405"/>
      <c r="AI181" s="482">
        <f t="shared" si="5"/>
        <v>3455.4</v>
      </c>
      <c r="AJ181" s="321" t="str">
        <f t="shared" si="6"/>
        <v>Bacs</v>
      </c>
    </row>
    <row r="182" spans="1:36" ht="12">
      <c r="A182" s="54">
        <v>185</v>
      </c>
      <c r="B182" s="33">
        <v>42788</v>
      </c>
      <c r="C182" s="56" t="s">
        <v>255</v>
      </c>
      <c r="D182" s="157" t="s">
        <v>253</v>
      </c>
      <c r="E182" s="36"/>
      <c r="F182" s="148"/>
      <c r="G182" s="36"/>
      <c r="H182" s="136"/>
      <c r="I182" s="34"/>
      <c r="J182" s="36"/>
      <c r="K182" s="36"/>
      <c r="L182" s="36"/>
      <c r="M182" s="36"/>
      <c r="N182" s="36"/>
      <c r="O182" s="36"/>
      <c r="P182" s="36"/>
      <c r="Q182" s="394"/>
      <c r="R182" s="395"/>
      <c r="S182" s="395"/>
      <c r="T182" s="394"/>
      <c r="U182" s="394"/>
      <c r="V182" s="394">
        <v>264</v>
      </c>
      <c r="W182" s="394"/>
      <c r="X182" s="394"/>
      <c r="Y182" s="394"/>
      <c r="Z182" s="394"/>
      <c r="AA182" s="394"/>
      <c r="AB182" s="394"/>
      <c r="AC182" s="394"/>
      <c r="AD182" s="394"/>
      <c r="AE182" s="394"/>
      <c r="AF182" s="394"/>
      <c r="AG182" s="394"/>
      <c r="AH182" s="396"/>
      <c r="AI182" s="482">
        <f t="shared" si="5"/>
        <v>264</v>
      </c>
      <c r="AJ182" s="323" t="str">
        <f t="shared" si="6"/>
        <v>Bacs</v>
      </c>
    </row>
    <row r="183" spans="1:36" ht="12">
      <c r="A183" s="54">
        <v>186</v>
      </c>
      <c r="B183" s="33">
        <v>42788</v>
      </c>
      <c r="C183" s="56" t="s">
        <v>486</v>
      </c>
      <c r="D183" s="157" t="s">
        <v>253</v>
      </c>
      <c r="E183" s="36"/>
      <c r="F183" s="148"/>
      <c r="G183" s="36"/>
      <c r="H183" s="136"/>
      <c r="I183" s="34"/>
      <c r="J183" s="36"/>
      <c r="K183" s="36"/>
      <c r="L183" s="36"/>
      <c r="M183" s="36"/>
      <c r="N183" s="36"/>
      <c r="O183" s="36"/>
      <c r="P183" s="36"/>
      <c r="Q183" s="394"/>
      <c r="R183" s="395"/>
      <c r="S183" s="395"/>
      <c r="T183" s="394"/>
      <c r="U183" s="394"/>
      <c r="V183" s="394"/>
      <c r="W183" s="394"/>
      <c r="X183" s="394">
        <v>159.6</v>
      </c>
      <c r="Y183" s="394"/>
      <c r="Z183" s="394"/>
      <c r="AA183" s="394"/>
      <c r="AB183" s="394"/>
      <c r="AC183" s="394"/>
      <c r="AD183" s="394"/>
      <c r="AE183" s="394"/>
      <c r="AF183" s="394"/>
      <c r="AG183" s="394"/>
      <c r="AH183" s="396"/>
      <c r="AI183" s="482">
        <f t="shared" si="5"/>
        <v>159.6</v>
      </c>
      <c r="AJ183" s="323" t="str">
        <f t="shared" si="6"/>
        <v>Bacs</v>
      </c>
    </row>
    <row r="184" spans="1:36" ht="12">
      <c r="A184" s="54">
        <v>187</v>
      </c>
      <c r="B184" s="33">
        <v>42799</v>
      </c>
      <c r="C184" s="27" t="s">
        <v>369</v>
      </c>
      <c r="D184" s="157">
        <v>3927</v>
      </c>
      <c r="E184" s="36"/>
      <c r="F184" s="148"/>
      <c r="G184" s="36">
        <v>18</v>
      </c>
      <c r="H184" s="136"/>
      <c r="I184" s="34"/>
      <c r="J184" s="36"/>
      <c r="L184" s="36"/>
      <c r="M184" s="36"/>
      <c r="N184" s="36"/>
      <c r="O184" s="36"/>
      <c r="P184" s="36"/>
      <c r="Q184" s="394"/>
      <c r="R184" s="395"/>
      <c r="S184" s="395"/>
      <c r="T184" s="394"/>
      <c r="U184" s="394"/>
      <c r="V184" s="394"/>
      <c r="W184" s="394"/>
      <c r="X184" s="394"/>
      <c r="Y184" s="394"/>
      <c r="Z184" s="394"/>
      <c r="AA184" s="394"/>
      <c r="AB184" s="394"/>
      <c r="AC184" s="394"/>
      <c r="AD184" s="394"/>
      <c r="AE184" s="394"/>
      <c r="AF184" s="394"/>
      <c r="AG184" s="394"/>
      <c r="AH184" s="396"/>
      <c r="AI184" s="482">
        <f t="shared" si="5"/>
        <v>18</v>
      </c>
      <c r="AJ184" s="323">
        <f t="shared" si="6"/>
        <v>3927</v>
      </c>
    </row>
    <row r="185" spans="1:36" ht="12">
      <c r="A185" s="54">
        <v>188</v>
      </c>
      <c r="B185" s="33">
        <v>42799</v>
      </c>
      <c r="C185" s="27" t="s">
        <v>255</v>
      </c>
      <c r="D185" s="158" t="s">
        <v>253</v>
      </c>
      <c r="E185" s="36"/>
      <c r="F185" s="148"/>
      <c r="G185" s="36"/>
      <c r="H185" s="136"/>
      <c r="I185" s="34"/>
      <c r="J185" s="36"/>
      <c r="K185" s="36"/>
      <c r="L185" s="36"/>
      <c r="M185" s="36"/>
      <c r="N185" s="36"/>
      <c r="O185" s="36"/>
      <c r="P185" s="36"/>
      <c r="Q185" s="394"/>
      <c r="R185" s="395"/>
      <c r="S185" s="395"/>
      <c r="T185" s="394"/>
      <c r="U185" s="394"/>
      <c r="V185" s="394">
        <v>132</v>
      </c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6"/>
      <c r="AI185" s="482">
        <f t="shared" si="5"/>
        <v>132</v>
      </c>
      <c r="AJ185" s="323" t="str">
        <f t="shared" si="6"/>
        <v>Bacs</v>
      </c>
    </row>
    <row r="186" spans="1:36" ht="12">
      <c r="A186" s="54">
        <v>190</v>
      </c>
      <c r="B186" s="33">
        <v>42799</v>
      </c>
      <c r="C186" s="38" t="s">
        <v>486</v>
      </c>
      <c r="D186" s="158" t="s">
        <v>253</v>
      </c>
      <c r="E186" s="36"/>
      <c r="F186" s="148"/>
      <c r="G186" s="36"/>
      <c r="H186" s="136"/>
      <c r="I186" s="34"/>
      <c r="J186" s="36"/>
      <c r="K186" s="36"/>
      <c r="L186" s="36"/>
      <c r="M186" s="36"/>
      <c r="N186" s="36"/>
      <c r="O186" s="36"/>
      <c r="P186" s="36"/>
      <c r="Q186" s="394"/>
      <c r="R186" s="395"/>
      <c r="S186" s="395"/>
      <c r="T186" s="394"/>
      <c r="U186" s="394"/>
      <c r="V186" s="394"/>
      <c r="W186" s="394"/>
      <c r="X186" s="394">
        <v>15.85</v>
      </c>
      <c r="Y186" s="394"/>
      <c r="Z186" s="394"/>
      <c r="AA186" s="394"/>
      <c r="AB186" s="394"/>
      <c r="AC186" s="394"/>
      <c r="AD186" s="394"/>
      <c r="AE186" s="394"/>
      <c r="AF186" s="394"/>
      <c r="AG186" s="394"/>
      <c r="AH186" s="396"/>
      <c r="AI186" s="482">
        <f t="shared" si="5"/>
        <v>15.85</v>
      </c>
      <c r="AJ186" s="323" t="str">
        <f t="shared" si="6"/>
        <v>Bacs</v>
      </c>
    </row>
    <row r="187" spans="1:36" ht="12">
      <c r="A187" s="54">
        <v>191</v>
      </c>
      <c r="B187" s="33">
        <v>42799</v>
      </c>
      <c r="C187" s="38" t="s">
        <v>488</v>
      </c>
      <c r="D187" s="158" t="s">
        <v>253</v>
      </c>
      <c r="E187" s="36"/>
      <c r="F187" s="148"/>
      <c r="G187" s="36"/>
      <c r="H187" s="136"/>
      <c r="I187" s="34"/>
      <c r="J187" s="36"/>
      <c r="K187" s="36"/>
      <c r="L187" s="36"/>
      <c r="M187" s="36"/>
      <c r="N187" s="36"/>
      <c r="O187" s="36"/>
      <c r="P187" s="36"/>
      <c r="Q187" s="394"/>
      <c r="R187" s="395"/>
      <c r="S187" s="395"/>
      <c r="T187" s="394"/>
      <c r="U187" s="394"/>
      <c r="V187" s="394">
        <v>49.4</v>
      </c>
      <c r="W187" s="394"/>
      <c r="X187" s="394"/>
      <c r="Y187" s="394"/>
      <c r="Z187" s="394"/>
      <c r="AA187" s="394"/>
      <c r="AB187" s="394"/>
      <c r="AC187" s="394"/>
      <c r="AD187" s="394"/>
      <c r="AE187" s="394"/>
      <c r="AF187" s="394"/>
      <c r="AG187" s="394"/>
      <c r="AH187" s="396"/>
      <c r="AI187" s="482">
        <f t="shared" si="5"/>
        <v>49.4</v>
      </c>
      <c r="AJ187" s="323" t="str">
        <f t="shared" si="6"/>
        <v>Bacs</v>
      </c>
    </row>
    <row r="188" spans="1:36" ht="12">
      <c r="A188" s="54">
        <v>192</v>
      </c>
      <c r="B188" s="33">
        <v>42799</v>
      </c>
      <c r="C188" s="38" t="s">
        <v>489</v>
      </c>
      <c r="D188" s="158" t="s">
        <v>253</v>
      </c>
      <c r="E188" s="36"/>
      <c r="F188" s="148"/>
      <c r="G188" s="36">
        <v>570</v>
      </c>
      <c r="H188" s="136"/>
      <c r="I188" s="34"/>
      <c r="J188" s="36"/>
      <c r="K188" s="36"/>
      <c r="L188" s="36"/>
      <c r="M188" s="36"/>
      <c r="N188" s="36"/>
      <c r="O188" s="36"/>
      <c r="P188" s="36"/>
      <c r="Q188" s="394"/>
      <c r="R188" s="395"/>
      <c r="S188" s="395"/>
      <c r="T188" s="394"/>
      <c r="U188" s="394"/>
      <c r="V188" s="394"/>
      <c r="W188" s="394"/>
      <c r="X188" s="394"/>
      <c r="Y188" s="394"/>
      <c r="Z188" s="394"/>
      <c r="AA188" s="394"/>
      <c r="AB188" s="394"/>
      <c r="AC188" s="394"/>
      <c r="AD188" s="394"/>
      <c r="AE188" s="394"/>
      <c r="AF188" s="394"/>
      <c r="AG188" s="394"/>
      <c r="AH188" s="396"/>
      <c r="AI188" s="482">
        <f t="shared" si="5"/>
        <v>570</v>
      </c>
      <c r="AJ188" s="323" t="str">
        <f t="shared" si="6"/>
        <v>Bacs</v>
      </c>
    </row>
    <row r="189" spans="1:36" ht="12">
      <c r="A189" s="54">
        <v>193</v>
      </c>
      <c r="B189" s="33">
        <v>42799</v>
      </c>
      <c r="C189" s="38" t="s">
        <v>490</v>
      </c>
      <c r="D189" s="158">
        <v>3925</v>
      </c>
      <c r="E189" s="36"/>
      <c r="F189" s="148"/>
      <c r="G189" s="36"/>
      <c r="H189" s="136"/>
      <c r="I189" s="34"/>
      <c r="J189" s="36"/>
      <c r="K189" s="36"/>
      <c r="L189" s="36"/>
      <c r="M189" s="36"/>
      <c r="N189" s="36"/>
      <c r="O189" s="36"/>
      <c r="P189" s="36"/>
      <c r="Q189" s="394"/>
      <c r="R189" s="395"/>
      <c r="S189" s="395"/>
      <c r="T189" s="394"/>
      <c r="U189" s="394"/>
      <c r="V189" s="394"/>
      <c r="W189" s="394"/>
      <c r="X189" s="394">
        <v>500</v>
      </c>
      <c r="Y189" s="394"/>
      <c r="Z189" s="394"/>
      <c r="AA189" s="394"/>
      <c r="AB189" s="394"/>
      <c r="AC189" s="394"/>
      <c r="AD189" s="394"/>
      <c r="AE189" s="394"/>
      <c r="AF189" s="394"/>
      <c r="AG189" s="394"/>
      <c r="AH189" s="396"/>
      <c r="AI189" s="482">
        <f t="shared" si="5"/>
        <v>500</v>
      </c>
      <c r="AJ189" s="323">
        <f aca="true" t="shared" si="7" ref="AJ189:AJ222">D189</f>
        <v>3925</v>
      </c>
    </row>
    <row r="190" spans="1:36" ht="12">
      <c r="A190" s="54">
        <v>194</v>
      </c>
      <c r="B190" s="33">
        <v>42799</v>
      </c>
      <c r="C190" s="38" t="s">
        <v>491</v>
      </c>
      <c r="D190" s="158" t="s">
        <v>253</v>
      </c>
      <c r="E190" s="36"/>
      <c r="F190" s="148"/>
      <c r="G190" s="36"/>
      <c r="H190" s="136"/>
      <c r="I190" s="34"/>
      <c r="J190" s="36"/>
      <c r="K190" s="36"/>
      <c r="L190" s="36"/>
      <c r="M190" s="36"/>
      <c r="N190" s="36"/>
      <c r="O190" s="36"/>
      <c r="P190" s="36"/>
      <c r="Q190" s="394"/>
      <c r="R190" s="395"/>
      <c r="S190" s="395"/>
      <c r="T190" s="394"/>
      <c r="U190" s="394"/>
      <c r="V190" s="394">
        <v>1910.78</v>
      </c>
      <c r="W190" s="394"/>
      <c r="X190" s="394"/>
      <c r="Y190" s="394"/>
      <c r="Z190" s="394"/>
      <c r="AA190" s="394"/>
      <c r="AB190" s="394"/>
      <c r="AC190" s="394"/>
      <c r="AD190" s="394"/>
      <c r="AE190" s="394"/>
      <c r="AF190" s="394"/>
      <c r="AG190" s="394"/>
      <c r="AH190" s="396"/>
      <c r="AI190" s="471">
        <f t="shared" si="5"/>
        <v>1910.78</v>
      </c>
      <c r="AJ190" s="323" t="str">
        <f t="shared" si="7"/>
        <v>Bacs</v>
      </c>
    </row>
    <row r="191" spans="1:36" ht="12">
      <c r="A191" s="54">
        <v>195</v>
      </c>
      <c r="B191" s="33">
        <v>42803</v>
      </c>
      <c r="C191" s="38" t="s">
        <v>255</v>
      </c>
      <c r="D191" s="158" t="s">
        <v>253</v>
      </c>
      <c r="E191" s="36"/>
      <c r="F191" s="148"/>
      <c r="G191" s="36"/>
      <c r="H191" s="136"/>
      <c r="I191" s="34"/>
      <c r="J191" s="36"/>
      <c r="K191" s="36"/>
      <c r="L191" s="36"/>
      <c r="M191" s="36"/>
      <c r="N191" s="36"/>
      <c r="O191" s="36"/>
      <c r="P191" s="36"/>
      <c r="Q191" s="394"/>
      <c r="R191" s="395"/>
      <c r="S191" s="395"/>
      <c r="T191" s="394"/>
      <c r="U191" s="394"/>
      <c r="V191" s="394">
        <v>2658</v>
      </c>
      <c r="W191" s="394"/>
      <c r="X191" s="394"/>
      <c r="Y191" s="394"/>
      <c r="Z191" s="394"/>
      <c r="AA191" s="394"/>
      <c r="AB191" s="394"/>
      <c r="AC191" s="394"/>
      <c r="AD191" s="394"/>
      <c r="AE191" s="394"/>
      <c r="AF191" s="394"/>
      <c r="AG191" s="394"/>
      <c r="AH191" s="396"/>
      <c r="AI191" s="482">
        <f t="shared" si="5"/>
        <v>2658</v>
      </c>
      <c r="AJ191" s="323" t="str">
        <f t="shared" si="7"/>
        <v>Bacs</v>
      </c>
    </row>
    <row r="192" spans="1:36" ht="12">
      <c r="A192" s="54">
        <v>196</v>
      </c>
      <c r="B192" s="33">
        <v>42803</v>
      </c>
      <c r="C192" s="38" t="s">
        <v>492</v>
      </c>
      <c r="D192" s="158" t="s">
        <v>253</v>
      </c>
      <c r="E192" s="36">
        <v>3416.99</v>
      </c>
      <c r="F192" s="148"/>
      <c r="G192" s="36"/>
      <c r="H192" s="136"/>
      <c r="I192" s="34"/>
      <c r="J192" s="36"/>
      <c r="K192" s="36"/>
      <c r="L192" s="36"/>
      <c r="M192" s="36"/>
      <c r="N192" s="36"/>
      <c r="O192" s="36"/>
      <c r="P192" s="36"/>
      <c r="Q192" s="394"/>
      <c r="R192" s="395"/>
      <c r="S192" s="395"/>
      <c r="T192" s="394"/>
      <c r="U192" s="394"/>
      <c r="V192" s="394"/>
      <c r="W192" s="394"/>
      <c r="X192" s="394"/>
      <c r="Y192" s="394"/>
      <c r="Z192" s="394"/>
      <c r="AA192" s="394"/>
      <c r="AB192" s="394"/>
      <c r="AC192" s="394"/>
      <c r="AD192" s="394"/>
      <c r="AE192" s="394"/>
      <c r="AF192" s="394"/>
      <c r="AG192" s="394"/>
      <c r="AH192" s="396"/>
      <c r="AI192" s="482">
        <f t="shared" si="5"/>
        <v>3416.99</v>
      </c>
      <c r="AJ192" s="323" t="str">
        <f t="shared" si="7"/>
        <v>Bacs</v>
      </c>
    </row>
    <row r="193" spans="1:36" ht="12">
      <c r="A193" s="54">
        <v>197</v>
      </c>
      <c r="B193" s="33">
        <v>42803</v>
      </c>
      <c r="C193" s="38" t="s">
        <v>246</v>
      </c>
      <c r="D193" s="158" t="s">
        <v>253</v>
      </c>
      <c r="E193" s="36"/>
      <c r="F193" s="148"/>
      <c r="G193" s="36"/>
      <c r="H193" s="136"/>
      <c r="I193" s="34">
        <v>21.61</v>
      </c>
      <c r="J193" s="36"/>
      <c r="K193" s="36"/>
      <c r="L193" s="36"/>
      <c r="M193" s="36"/>
      <c r="N193" s="36"/>
      <c r="O193" s="36"/>
      <c r="P193" s="36"/>
      <c r="Q193" s="394"/>
      <c r="R193" s="395"/>
      <c r="S193" s="395"/>
      <c r="T193" s="394"/>
      <c r="U193" s="394"/>
      <c r="V193" s="394"/>
      <c r="W193" s="394"/>
      <c r="X193" s="394"/>
      <c r="Y193" s="394"/>
      <c r="Z193" s="394"/>
      <c r="AA193" s="394"/>
      <c r="AB193" s="394"/>
      <c r="AC193" s="394"/>
      <c r="AD193" s="394"/>
      <c r="AE193" s="394"/>
      <c r="AF193" s="394"/>
      <c r="AG193" s="394"/>
      <c r="AH193" s="396"/>
      <c r="AI193" s="482">
        <f t="shared" si="5"/>
        <v>21.61</v>
      </c>
      <c r="AJ193" s="323" t="str">
        <f t="shared" si="7"/>
        <v>Bacs</v>
      </c>
    </row>
    <row r="194" spans="1:36" ht="12">
      <c r="A194" s="54">
        <v>198</v>
      </c>
      <c r="B194" s="33">
        <v>42807</v>
      </c>
      <c r="C194" s="38" t="s">
        <v>329</v>
      </c>
      <c r="D194" s="158" t="s">
        <v>253</v>
      </c>
      <c r="E194" s="36"/>
      <c r="F194" s="148"/>
      <c r="G194" s="36"/>
      <c r="H194" s="136"/>
      <c r="I194" s="34"/>
      <c r="J194" s="36"/>
      <c r="K194" s="36"/>
      <c r="L194" s="36"/>
      <c r="M194" s="36"/>
      <c r="N194" s="36"/>
      <c r="O194" s="36"/>
      <c r="P194" s="36"/>
      <c r="Q194" s="394"/>
      <c r="R194" s="395"/>
      <c r="S194" s="395">
        <v>377</v>
      </c>
      <c r="T194" s="394"/>
      <c r="U194" s="394"/>
      <c r="V194" s="394"/>
      <c r="W194" s="394"/>
      <c r="X194" s="394"/>
      <c r="Y194" s="394"/>
      <c r="Z194" s="394"/>
      <c r="AA194" s="394"/>
      <c r="AB194" s="394"/>
      <c r="AC194" s="394"/>
      <c r="AD194" s="394"/>
      <c r="AE194" s="394"/>
      <c r="AF194" s="394"/>
      <c r="AG194" s="394"/>
      <c r="AH194" s="396"/>
      <c r="AI194" s="482">
        <f t="shared" si="5"/>
        <v>377</v>
      </c>
      <c r="AJ194" s="323" t="str">
        <f t="shared" si="7"/>
        <v>Bacs</v>
      </c>
    </row>
    <row r="195" spans="1:36" ht="12">
      <c r="A195" s="54">
        <v>199</v>
      </c>
      <c r="B195" s="33">
        <v>42807</v>
      </c>
      <c r="C195" s="38" t="s">
        <v>330</v>
      </c>
      <c r="D195" s="158" t="s">
        <v>253</v>
      </c>
      <c r="E195" s="36"/>
      <c r="F195" s="148"/>
      <c r="G195" s="36"/>
      <c r="H195" s="136"/>
      <c r="I195" s="34"/>
      <c r="J195" s="36"/>
      <c r="K195" s="36"/>
      <c r="L195" s="36"/>
      <c r="M195" s="36"/>
      <c r="N195" s="36"/>
      <c r="O195" s="36"/>
      <c r="P195" s="36"/>
      <c r="Q195" s="394"/>
      <c r="R195" s="395"/>
      <c r="S195" s="395">
        <v>150</v>
      </c>
      <c r="T195" s="394"/>
      <c r="U195" s="394"/>
      <c r="V195" s="394"/>
      <c r="W195" s="394"/>
      <c r="X195" s="394"/>
      <c r="Y195" s="394"/>
      <c r="Z195" s="394"/>
      <c r="AA195" s="394"/>
      <c r="AB195" s="394"/>
      <c r="AC195" s="394"/>
      <c r="AD195" s="394"/>
      <c r="AE195" s="394"/>
      <c r="AF195" s="394"/>
      <c r="AG195" s="394"/>
      <c r="AH195" s="396"/>
      <c r="AI195" s="482">
        <f t="shared" si="5"/>
        <v>150</v>
      </c>
      <c r="AJ195" s="323" t="str">
        <f t="shared" si="7"/>
        <v>Bacs</v>
      </c>
    </row>
    <row r="196" spans="1:36" ht="12">
      <c r="A196" s="54">
        <v>200</v>
      </c>
      <c r="B196" s="33">
        <v>42816</v>
      </c>
      <c r="C196" s="38" t="s">
        <v>329</v>
      </c>
      <c r="D196" s="158" t="s">
        <v>253</v>
      </c>
      <c r="E196" s="36"/>
      <c r="F196" s="148"/>
      <c r="G196" s="36"/>
      <c r="H196" s="136"/>
      <c r="I196" s="34"/>
      <c r="J196" s="36"/>
      <c r="K196" s="36"/>
      <c r="L196" s="36"/>
      <c r="M196" s="36"/>
      <c r="N196" s="36"/>
      <c r="O196" s="36"/>
      <c r="P196" s="36"/>
      <c r="Q196" s="394"/>
      <c r="R196" s="395"/>
      <c r="S196" s="395">
        <v>155</v>
      </c>
      <c r="T196" s="394"/>
      <c r="U196" s="394"/>
      <c r="V196" s="394"/>
      <c r="W196" s="394"/>
      <c r="X196" s="394"/>
      <c r="Y196" s="394"/>
      <c r="Z196" s="394"/>
      <c r="AA196" s="394"/>
      <c r="AB196" s="394"/>
      <c r="AC196" s="394"/>
      <c r="AD196" s="394"/>
      <c r="AE196" s="394"/>
      <c r="AF196" s="394"/>
      <c r="AG196" s="394"/>
      <c r="AH196" s="396"/>
      <c r="AI196" s="482">
        <f t="shared" si="5"/>
        <v>155</v>
      </c>
      <c r="AJ196" s="323" t="str">
        <f t="shared" si="7"/>
        <v>Bacs</v>
      </c>
    </row>
    <row r="197" spans="1:36" ht="12">
      <c r="A197" s="54">
        <v>201</v>
      </c>
      <c r="B197" s="33">
        <v>42816</v>
      </c>
      <c r="C197" s="38" t="s">
        <v>493</v>
      </c>
      <c r="D197" s="158" t="s">
        <v>253</v>
      </c>
      <c r="E197" s="36"/>
      <c r="F197" s="148"/>
      <c r="G197" s="36"/>
      <c r="H197" s="136"/>
      <c r="I197" s="34"/>
      <c r="J197" s="36"/>
      <c r="K197" s="36"/>
      <c r="L197" s="36"/>
      <c r="M197" s="36"/>
      <c r="N197" s="36"/>
      <c r="O197" s="36"/>
      <c r="P197" s="36"/>
      <c r="Q197" s="394"/>
      <c r="R197" s="395"/>
      <c r="S197" s="395">
        <v>243</v>
      </c>
      <c r="T197" s="394"/>
      <c r="U197" s="394"/>
      <c r="V197" s="394"/>
      <c r="W197" s="394"/>
      <c r="X197" s="394"/>
      <c r="Y197" s="394"/>
      <c r="Z197" s="394"/>
      <c r="AA197" s="394"/>
      <c r="AB197" s="394"/>
      <c r="AC197" s="394"/>
      <c r="AD197" s="394"/>
      <c r="AE197" s="394"/>
      <c r="AF197" s="394"/>
      <c r="AG197" s="394"/>
      <c r="AH197" s="396"/>
      <c r="AI197" s="482">
        <f t="shared" si="5"/>
        <v>243</v>
      </c>
      <c r="AJ197" s="323" t="str">
        <f t="shared" si="7"/>
        <v>Bacs</v>
      </c>
    </row>
    <row r="198" spans="1:36" ht="12">
      <c r="A198" s="54">
        <v>202</v>
      </c>
      <c r="B198" s="33">
        <v>42818</v>
      </c>
      <c r="C198" s="38" t="s">
        <v>229</v>
      </c>
      <c r="D198" s="158" t="s">
        <v>253</v>
      </c>
      <c r="E198" s="36"/>
      <c r="F198" s="148"/>
      <c r="G198" s="36"/>
      <c r="H198" s="136"/>
      <c r="I198" s="34"/>
      <c r="J198" s="36"/>
      <c r="K198" s="36"/>
      <c r="L198" s="36"/>
      <c r="M198" s="36"/>
      <c r="N198" s="36"/>
      <c r="O198" s="36"/>
      <c r="P198" s="36"/>
      <c r="Q198" s="394"/>
      <c r="R198" s="395"/>
      <c r="S198" s="395"/>
      <c r="T198" s="394"/>
      <c r="U198" s="394"/>
      <c r="V198" s="394"/>
      <c r="W198" s="394"/>
      <c r="X198" s="394"/>
      <c r="Y198" s="394"/>
      <c r="Z198" s="394"/>
      <c r="AA198" s="394"/>
      <c r="AB198" s="394"/>
      <c r="AC198" s="394"/>
      <c r="AD198" s="394"/>
      <c r="AE198" s="394"/>
      <c r="AF198" s="394">
        <v>41.8</v>
      </c>
      <c r="AG198" s="394"/>
      <c r="AH198" s="396"/>
      <c r="AI198" s="482">
        <f aca="true" t="shared" si="8" ref="AI198:AI238">SUM(E198:AH198)</f>
        <v>41.8</v>
      </c>
      <c r="AJ198" s="323" t="str">
        <f t="shared" si="7"/>
        <v>Bacs</v>
      </c>
    </row>
    <row r="199" spans="1:36" ht="12">
      <c r="A199" s="54">
        <v>203</v>
      </c>
      <c r="B199" s="33">
        <v>42818</v>
      </c>
      <c r="C199" s="38" t="s">
        <v>407</v>
      </c>
      <c r="D199" s="158" t="s">
        <v>253</v>
      </c>
      <c r="E199" s="36"/>
      <c r="F199" s="148"/>
      <c r="G199" s="36"/>
      <c r="H199" s="136"/>
      <c r="I199" s="34"/>
      <c r="J199" s="36"/>
      <c r="K199" s="36">
        <v>173.4</v>
      </c>
      <c r="L199" s="36"/>
      <c r="M199" s="36"/>
      <c r="N199" s="36"/>
      <c r="O199" s="36"/>
      <c r="P199" s="36"/>
      <c r="Q199" s="394"/>
      <c r="R199" s="395"/>
      <c r="S199" s="395"/>
      <c r="T199" s="394"/>
      <c r="U199" s="394"/>
      <c r="V199" s="394"/>
      <c r="W199" s="394"/>
      <c r="X199" s="394"/>
      <c r="Y199" s="394"/>
      <c r="Z199" s="394"/>
      <c r="AA199" s="394"/>
      <c r="AB199" s="394"/>
      <c r="AC199" s="394"/>
      <c r="AD199" s="394"/>
      <c r="AE199" s="394"/>
      <c r="AF199" s="394"/>
      <c r="AG199" s="394"/>
      <c r="AH199" s="396"/>
      <c r="AI199" s="482">
        <f t="shared" si="8"/>
        <v>173.4</v>
      </c>
      <c r="AJ199" s="323" t="str">
        <f t="shared" si="7"/>
        <v>Bacs</v>
      </c>
    </row>
    <row r="200" spans="1:36" ht="12">
      <c r="A200" s="54">
        <v>204</v>
      </c>
      <c r="B200" s="33">
        <v>42818</v>
      </c>
      <c r="C200" s="38" t="s">
        <v>494</v>
      </c>
      <c r="D200" s="158" t="s">
        <v>253</v>
      </c>
      <c r="E200" s="36"/>
      <c r="F200" s="148"/>
      <c r="G200" s="36"/>
      <c r="H200" s="136"/>
      <c r="I200" s="34"/>
      <c r="J200" s="36"/>
      <c r="K200" s="36"/>
      <c r="L200" s="36"/>
      <c r="M200" s="36"/>
      <c r="N200" s="36"/>
      <c r="O200" s="36"/>
      <c r="P200" s="36"/>
      <c r="Q200" s="394"/>
      <c r="R200" s="395"/>
      <c r="S200" s="395"/>
      <c r="T200" s="394"/>
      <c r="U200" s="394"/>
      <c r="V200" s="394"/>
      <c r="W200" s="394"/>
      <c r="X200" s="394"/>
      <c r="Y200" s="394"/>
      <c r="Z200" s="394"/>
      <c r="AA200" s="394"/>
      <c r="AB200" s="394"/>
      <c r="AC200" s="394"/>
      <c r="AD200" s="394"/>
      <c r="AE200" s="394"/>
      <c r="AF200" s="394">
        <v>32</v>
      </c>
      <c r="AG200" s="394"/>
      <c r="AH200" s="396"/>
      <c r="AI200" s="482">
        <f t="shared" si="8"/>
        <v>32</v>
      </c>
      <c r="AJ200" s="323" t="str">
        <f t="shared" si="7"/>
        <v>Bacs</v>
      </c>
    </row>
    <row r="201" spans="1:36" ht="12">
      <c r="A201" s="54">
        <v>205</v>
      </c>
      <c r="B201" s="33">
        <v>42818</v>
      </c>
      <c r="C201" s="38" t="s">
        <v>495</v>
      </c>
      <c r="D201" s="158" t="s">
        <v>253</v>
      </c>
      <c r="E201" s="36"/>
      <c r="F201" s="148"/>
      <c r="G201" s="36"/>
      <c r="H201" s="136"/>
      <c r="I201" s="34"/>
      <c r="J201" s="36"/>
      <c r="K201" s="36"/>
      <c r="L201" s="36"/>
      <c r="M201" s="36"/>
      <c r="N201" s="36"/>
      <c r="O201" s="36"/>
      <c r="P201" s="36"/>
      <c r="Q201" s="394"/>
      <c r="R201" s="395"/>
      <c r="S201" s="395"/>
      <c r="T201" s="394"/>
      <c r="U201" s="394"/>
      <c r="V201" s="394"/>
      <c r="W201" s="394"/>
      <c r="X201" s="394"/>
      <c r="Y201" s="394">
        <v>50</v>
      </c>
      <c r="Z201" s="394"/>
      <c r="AA201" s="394"/>
      <c r="AB201" s="394"/>
      <c r="AC201" s="394"/>
      <c r="AD201" s="394"/>
      <c r="AE201" s="394"/>
      <c r="AF201" s="394"/>
      <c r="AG201" s="394"/>
      <c r="AH201" s="396"/>
      <c r="AI201" s="482">
        <f t="shared" si="8"/>
        <v>50</v>
      </c>
      <c r="AJ201" s="323" t="str">
        <f t="shared" si="7"/>
        <v>Bacs</v>
      </c>
    </row>
    <row r="202" spans="1:36" ht="12">
      <c r="A202" s="54">
        <v>206</v>
      </c>
      <c r="B202" s="33">
        <v>42772</v>
      </c>
      <c r="C202" s="38" t="s">
        <v>505</v>
      </c>
      <c r="D202" s="158" t="s">
        <v>253</v>
      </c>
      <c r="E202" s="36"/>
      <c r="F202" s="148"/>
      <c r="G202" s="36"/>
      <c r="H202" s="136"/>
      <c r="I202" s="34"/>
      <c r="J202" s="36">
        <v>35</v>
      </c>
      <c r="K202" s="36"/>
      <c r="L202" s="36"/>
      <c r="M202" s="36"/>
      <c r="N202" s="36"/>
      <c r="O202" s="36"/>
      <c r="P202" s="36"/>
      <c r="Q202" s="394"/>
      <c r="R202" s="395"/>
      <c r="S202" s="395"/>
      <c r="T202" s="394"/>
      <c r="U202" s="394"/>
      <c r="V202" s="394"/>
      <c r="W202" s="394"/>
      <c r="X202" s="394"/>
      <c r="Y202" s="394"/>
      <c r="Z202" s="394"/>
      <c r="AA202" s="394"/>
      <c r="AB202" s="394"/>
      <c r="AC202" s="394"/>
      <c r="AD202" s="394"/>
      <c r="AE202" s="394"/>
      <c r="AF202" s="394"/>
      <c r="AG202" s="394"/>
      <c r="AH202" s="396"/>
      <c r="AI202" s="482">
        <f t="shared" si="8"/>
        <v>35</v>
      </c>
      <c r="AJ202" s="323" t="str">
        <f t="shared" si="7"/>
        <v>Bacs</v>
      </c>
    </row>
    <row r="203" spans="1:36" ht="12">
      <c r="A203" s="54">
        <v>207</v>
      </c>
      <c r="B203" s="33">
        <v>42814</v>
      </c>
      <c r="C203" s="38" t="s">
        <v>373</v>
      </c>
      <c r="D203" s="158" t="s">
        <v>222</v>
      </c>
      <c r="E203" s="36"/>
      <c r="F203" s="148"/>
      <c r="G203" s="36"/>
      <c r="H203" s="136">
        <v>242</v>
      </c>
      <c r="I203" s="34"/>
      <c r="J203" s="36"/>
      <c r="K203" s="36"/>
      <c r="L203" s="36"/>
      <c r="M203" s="36"/>
      <c r="N203" s="36"/>
      <c r="O203" s="36"/>
      <c r="P203" s="36"/>
      <c r="Q203" s="394"/>
      <c r="R203" s="395"/>
      <c r="S203" s="395"/>
      <c r="T203" s="394"/>
      <c r="U203" s="394"/>
      <c r="V203" s="394"/>
      <c r="W203" s="394"/>
      <c r="X203" s="394"/>
      <c r="Y203" s="394"/>
      <c r="Z203" s="394"/>
      <c r="AA203" s="394"/>
      <c r="AB203" s="394"/>
      <c r="AC203" s="394"/>
      <c r="AD203" s="394"/>
      <c r="AE203" s="394"/>
      <c r="AF203" s="394"/>
      <c r="AG203" s="394"/>
      <c r="AH203" s="396"/>
      <c r="AI203" s="482">
        <f t="shared" si="8"/>
        <v>242</v>
      </c>
      <c r="AJ203" s="323" t="str">
        <f t="shared" si="7"/>
        <v>DD</v>
      </c>
    </row>
    <row r="204" spans="1:36" ht="12">
      <c r="A204" s="54">
        <v>208</v>
      </c>
      <c r="B204" s="33">
        <v>42794</v>
      </c>
      <c r="C204" s="38" t="s">
        <v>56</v>
      </c>
      <c r="D204" s="158" t="s">
        <v>222</v>
      </c>
      <c r="E204" s="36"/>
      <c r="F204" s="148"/>
      <c r="G204" s="36"/>
      <c r="H204" s="136"/>
      <c r="I204" s="34"/>
      <c r="J204" s="36"/>
      <c r="K204" s="36"/>
      <c r="L204" s="36"/>
      <c r="M204" s="36"/>
      <c r="N204" s="36"/>
      <c r="O204" s="36"/>
      <c r="P204" s="36">
        <v>74.07</v>
      </c>
      <c r="Q204" s="394"/>
      <c r="R204" s="395"/>
      <c r="S204" s="395"/>
      <c r="T204" s="394"/>
      <c r="U204" s="394"/>
      <c r="V204" s="394"/>
      <c r="W204" s="394"/>
      <c r="X204" s="394"/>
      <c r="Y204" s="394"/>
      <c r="Z204" s="394"/>
      <c r="AA204" s="394"/>
      <c r="AB204" s="394"/>
      <c r="AC204" s="394"/>
      <c r="AD204" s="394"/>
      <c r="AE204" s="394"/>
      <c r="AF204" s="394"/>
      <c r="AG204" s="394"/>
      <c r="AH204" s="396"/>
      <c r="AI204" s="482">
        <f t="shared" si="8"/>
        <v>74.07</v>
      </c>
      <c r="AJ204" s="323" t="str">
        <f t="shared" si="7"/>
        <v>DD</v>
      </c>
    </row>
    <row r="205" spans="1:37" ht="12">
      <c r="A205" s="54">
        <v>209</v>
      </c>
      <c r="B205" s="33">
        <v>42766</v>
      </c>
      <c r="C205" s="38" t="s">
        <v>56</v>
      </c>
      <c r="D205" s="158" t="s">
        <v>222</v>
      </c>
      <c r="E205" s="36"/>
      <c r="F205" s="148"/>
      <c r="G205" s="36"/>
      <c r="H205" s="136"/>
      <c r="I205" s="34"/>
      <c r="J205" s="36"/>
      <c r="K205" s="36"/>
      <c r="L205" s="36"/>
      <c r="M205" s="36"/>
      <c r="N205" s="36"/>
      <c r="O205" s="36"/>
      <c r="P205" s="36">
        <v>33.95</v>
      </c>
      <c r="Q205" s="394"/>
      <c r="R205" s="395"/>
      <c r="S205" s="395"/>
      <c r="T205" s="394"/>
      <c r="U205" s="394"/>
      <c r="V205" s="394"/>
      <c r="W205" s="394"/>
      <c r="X205" s="394"/>
      <c r="Y205" s="394"/>
      <c r="Z205" s="394"/>
      <c r="AA205" s="394"/>
      <c r="AB205" s="394"/>
      <c r="AC205" s="394"/>
      <c r="AD205" s="394"/>
      <c r="AE205" s="394"/>
      <c r="AF205" s="394"/>
      <c r="AG205" s="394"/>
      <c r="AH205" s="396"/>
      <c r="AI205" s="482">
        <f t="shared" si="8"/>
        <v>33.95</v>
      </c>
      <c r="AJ205" s="323" t="str">
        <f t="shared" si="7"/>
        <v>DD</v>
      </c>
      <c r="AK205" s="575"/>
    </row>
    <row r="206" spans="1:38" ht="12">
      <c r="A206" s="54">
        <v>210</v>
      </c>
      <c r="B206" s="33">
        <v>42858</v>
      </c>
      <c r="C206" s="38" t="s">
        <v>554</v>
      </c>
      <c r="D206" s="158" t="s">
        <v>253</v>
      </c>
      <c r="E206" s="36">
        <v>3083.88</v>
      </c>
      <c r="F206" s="148"/>
      <c r="G206" s="36"/>
      <c r="H206" s="136"/>
      <c r="I206" s="34"/>
      <c r="J206" s="36"/>
      <c r="K206" s="36"/>
      <c r="L206" s="36"/>
      <c r="M206" s="36"/>
      <c r="N206" s="36"/>
      <c r="O206" s="36"/>
      <c r="P206" s="36"/>
      <c r="Q206" s="394"/>
      <c r="R206" s="395"/>
      <c r="S206" s="395"/>
      <c r="T206" s="394"/>
      <c r="U206" s="394"/>
      <c r="V206" s="394"/>
      <c r="W206" s="394"/>
      <c r="X206" s="394"/>
      <c r="Y206" s="394"/>
      <c r="Z206" s="394"/>
      <c r="AA206" s="394"/>
      <c r="AB206" s="394"/>
      <c r="AC206" s="394"/>
      <c r="AD206" s="394"/>
      <c r="AE206" s="394"/>
      <c r="AF206" s="394"/>
      <c r="AG206" s="394"/>
      <c r="AH206" s="396"/>
      <c r="AI206" s="471">
        <f t="shared" si="8"/>
        <v>3083.88</v>
      </c>
      <c r="AJ206" s="323" t="str">
        <f t="shared" si="7"/>
        <v>Bacs</v>
      </c>
      <c r="AK206" s="575">
        <f aca="true" t="shared" si="9" ref="AK206:AL208">B206</f>
        <v>42858</v>
      </c>
      <c r="AL206" s="7" t="str">
        <f t="shared" si="9"/>
        <v>EA (March</v>
      </c>
    </row>
    <row r="207" spans="1:38" ht="12">
      <c r="A207" s="54">
        <v>211</v>
      </c>
      <c r="B207" s="33">
        <v>42809</v>
      </c>
      <c r="C207" s="38" t="s">
        <v>223</v>
      </c>
      <c r="D207" s="158" t="s">
        <v>222</v>
      </c>
      <c r="E207" s="36"/>
      <c r="F207" s="148"/>
      <c r="G207" s="36">
        <v>225.72</v>
      </c>
      <c r="H207" s="136"/>
      <c r="I207" s="34"/>
      <c r="J207" s="36"/>
      <c r="K207" s="36"/>
      <c r="L207" s="36"/>
      <c r="M207" s="36"/>
      <c r="N207" s="36"/>
      <c r="O207" s="36"/>
      <c r="P207" s="36"/>
      <c r="Q207" s="394"/>
      <c r="R207" s="395"/>
      <c r="S207" s="395"/>
      <c r="T207" s="394"/>
      <c r="U207" s="394"/>
      <c r="V207" s="394"/>
      <c r="W207" s="394"/>
      <c r="X207" s="394"/>
      <c r="Y207" s="394"/>
      <c r="Z207" s="394"/>
      <c r="AA207" s="394"/>
      <c r="AB207" s="394"/>
      <c r="AC207" s="394"/>
      <c r="AD207" s="394"/>
      <c r="AE207" s="394"/>
      <c r="AF207" s="394"/>
      <c r="AG207" s="394"/>
      <c r="AH207" s="396"/>
      <c r="AI207" s="482">
        <f t="shared" si="8"/>
        <v>225.72</v>
      </c>
      <c r="AJ207" s="323" t="str">
        <f t="shared" si="7"/>
        <v>DD</v>
      </c>
      <c r="AK207" s="575">
        <f t="shared" si="9"/>
        <v>42809</v>
      </c>
      <c r="AL207" s="7" t="str">
        <f t="shared" si="9"/>
        <v>BT</v>
      </c>
    </row>
    <row r="208" spans="1:38" ht="12">
      <c r="A208" s="54">
        <v>212</v>
      </c>
      <c r="B208" s="33">
        <v>42830</v>
      </c>
      <c r="C208" s="38" t="s">
        <v>543</v>
      </c>
      <c r="D208" s="295" t="s">
        <v>253</v>
      </c>
      <c r="E208" s="36"/>
      <c r="F208" s="148"/>
      <c r="G208" s="36"/>
      <c r="H208" s="136"/>
      <c r="I208" s="34"/>
      <c r="J208" s="36"/>
      <c r="K208" s="36"/>
      <c r="L208" s="36"/>
      <c r="M208" s="36"/>
      <c r="N208" s="36"/>
      <c r="O208" s="36"/>
      <c r="P208" s="36"/>
      <c r="Q208" s="394"/>
      <c r="R208" s="395"/>
      <c r="S208" s="395"/>
      <c r="T208" s="394"/>
      <c r="U208" s="394"/>
      <c r="V208" s="394"/>
      <c r="W208" s="394"/>
      <c r="X208" s="394"/>
      <c r="Y208" s="394">
        <v>994.9</v>
      </c>
      <c r="Z208" s="394"/>
      <c r="AA208" s="394"/>
      <c r="AB208" s="394"/>
      <c r="AC208" s="394"/>
      <c r="AD208" s="394"/>
      <c r="AE208" s="394"/>
      <c r="AF208" s="394"/>
      <c r="AG208" s="394"/>
      <c r="AH208" s="396"/>
      <c r="AI208" s="471">
        <f t="shared" si="8"/>
        <v>994.9</v>
      </c>
      <c r="AJ208" s="323" t="str">
        <f t="shared" si="7"/>
        <v>Bacs</v>
      </c>
      <c r="AK208" s="575">
        <f t="shared" si="9"/>
        <v>42830</v>
      </c>
      <c r="AL208" s="7" t="str">
        <f t="shared" si="9"/>
        <v>6/12 Stage Officials</v>
      </c>
    </row>
    <row r="209" spans="1:38" ht="12">
      <c r="A209" s="54">
        <v>213</v>
      </c>
      <c r="B209" s="33">
        <v>42825</v>
      </c>
      <c r="C209" s="38" t="s">
        <v>252</v>
      </c>
      <c r="D209" s="158">
        <v>3928</v>
      </c>
      <c r="E209" s="36"/>
      <c r="F209" s="148"/>
      <c r="G209" s="36"/>
      <c r="H209" s="136"/>
      <c r="I209" s="34"/>
      <c r="J209" s="36"/>
      <c r="K209" s="36"/>
      <c r="L209" s="36"/>
      <c r="M209" s="36"/>
      <c r="N209" s="36"/>
      <c r="O209" s="36"/>
      <c r="P209" s="36"/>
      <c r="Q209" s="394"/>
      <c r="R209" s="395"/>
      <c r="S209" s="395"/>
      <c r="T209" s="394"/>
      <c r="U209" s="394"/>
      <c r="V209" s="394">
        <v>190</v>
      </c>
      <c r="W209" s="394"/>
      <c r="X209" s="394"/>
      <c r="Y209" s="394"/>
      <c r="Z209" s="394"/>
      <c r="AA209" s="394"/>
      <c r="AB209" s="394"/>
      <c r="AC209" s="394"/>
      <c r="AD209" s="394"/>
      <c r="AE209" s="394"/>
      <c r="AF209" s="394"/>
      <c r="AG209" s="394"/>
      <c r="AH209" s="396"/>
      <c r="AI209" s="471">
        <f t="shared" si="8"/>
        <v>190</v>
      </c>
      <c r="AJ209" s="323">
        <f t="shared" si="7"/>
        <v>3928</v>
      </c>
      <c r="AK209" s="575">
        <f aca="true" t="shared" si="10" ref="AK209:AK237">B209</f>
        <v>42825</v>
      </c>
      <c r="AL209" s="7" t="str">
        <f aca="true" t="shared" si="11" ref="AL209:AL235">C209</f>
        <v>M Steer</v>
      </c>
    </row>
    <row r="210" spans="1:38" ht="12">
      <c r="A210" s="54">
        <v>214</v>
      </c>
      <c r="B210" s="33">
        <v>42829</v>
      </c>
      <c r="C210" s="38" t="s">
        <v>509</v>
      </c>
      <c r="D210" s="158" t="s">
        <v>253</v>
      </c>
      <c r="E210" s="36"/>
      <c r="F210" s="148"/>
      <c r="G210" s="36"/>
      <c r="H210" s="136"/>
      <c r="I210" s="34"/>
      <c r="J210" s="36"/>
      <c r="K210" s="36"/>
      <c r="L210" s="36"/>
      <c r="M210" s="36"/>
      <c r="N210" s="36"/>
      <c r="O210" s="36"/>
      <c r="P210" s="36"/>
      <c r="Q210" s="394"/>
      <c r="R210" s="395"/>
      <c r="S210" s="395"/>
      <c r="T210" s="394"/>
      <c r="U210" s="394"/>
      <c r="V210" s="394"/>
      <c r="W210" s="394"/>
      <c r="X210" s="394"/>
      <c r="Y210" s="394"/>
      <c r="Z210" s="394"/>
      <c r="AA210" s="394">
        <v>264</v>
      </c>
      <c r="AB210" s="394"/>
      <c r="AC210" s="394"/>
      <c r="AD210" s="394"/>
      <c r="AE210" s="394"/>
      <c r="AF210" s="394"/>
      <c r="AG210" s="394"/>
      <c r="AH210" s="396"/>
      <c r="AI210" s="471">
        <f t="shared" si="8"/>
        <v>264</v>
      </c>
      <c r="AJ210" s="323" t="str">
        <f t="shared" si="7"/>
        <v>Bacs</v>
      </c>
      <c r="AK210" s="575">
        <f t="shared" si="10"/>
        <v>42829</v>
      </c>
      <c r="AL210" s="7" t="str">
        <f t="shared" si="11"/>
        <v>SIV - Comb. Events</v>
      </c>
    </row>
    <row r="211" spans="1:38" ht="12">
      <c r="A211" s="54">
        <v>215</v>
      </c>
      <c r="B211" s="33">
        <v>42825</v>
      </c>
      <c r="C211" s="38" t="s">
        <v>225</v>
      </c>
      <c r="D211" s="158">
        <v>3931</v>
      </c>
      <c r="E211" s="36"/>
      <c r="F211" s="148"/>
      <c r="G211" s="36"/>
      <c r="H211" s="136"/>
      <c r="I211" s="34"/>
      <c r="J211" s="36"/>
      <c r="K211" s="36"/>
      <c r="L211" s="36"/>
      <c r="M211" s="36"/>
      <c r="N211" s="36"/>
      <c r="O211" s="36"/>
      <c r="P211" s="36"/>
      <c r="Q211" s="394"/>
      <c r="R211" s="395"/>
      <c r="S211" s="395"/>
      <c r="T211" s="394"/>
      <c r="U211" s="394"/>
      <c r="V211" s="394"/>
      <c r="W211" s="394"/>
      <c r="X211" s="394"/>
      <c r="Y211" s="394">
        <v>159.72</v>
      </c>
      <c r="Z211" s="394"/>
      <c r="AA211" s="394"/>
      <c r="AB211" s="394"/>
      <c r="AC211" s="394"/>
      <c r="AD211" s="394"/>
      <c r="AE211" s="394"/>
      <c r="AF211" s="394"/>
      <c r="AG211" s="394"/>
      <c r="AH211" s="396"/>
      <c r="AI211" s="471">
        <f t="shared" si="8"/>
        <v>159.72</v>
      </c>
      <c r="AJ211" s="323">
        <f t="shared" si="7"/>
        <v>3931</v>
      </c>
      <c r="AK211" s="575">
        <f t="shared" si="10"/>
        <v>42825</v>
      </c>
      <c r="AL211" s="7" t="str">
        <f t="shared" si="11"/>
        <v>Ballcraft</v>
      </c>
    </row>
    <row r="212" spans="1:38" ht="12">
      <c r="A212" s="54">
        <v>216</v>
      </c>
      <c r="B212" s="33">
        <v>42829</v>
      </c>
      <c r="C212" s="38" t="s">
        <v>511</v>
      </c>
      <c r="D212" s="158" t="s">
        <v>253</v>
      </c>
      <c r="E212" s="36"/>
      <c r="F212" s="148"/>
      <c r="G212" s="36"/>
      <c r="H212" s="136"/>
      <c r="I212" s="34"/>
      <c r="J212" s="36"/>
      <c r="K212" s="36"/>
      <c r="L212" s="36"/>
      <c r="M212" s="36"/>
      <c r="N212" s="36"/>
      <c r="O212" s="36"/>
      <c r="P212" s="36"/>
      <c r="Q212" s="394"/>
      <c r="R212" s="395"/>
      <c r="S212" s="395">
        <v>396.5</v>
      </c>
      <c r="T212" s="394"/>
      <c r="U212" s="394"/>
      <c r="V212" s="394"/>
      <c r="W212" s="394"/>
      <c r="X212" s="394"/>
      <c r="Y212" s="394"/>
      <c r="Z212" s="394"/>
      <c r="AA212" s="394"/>
      <c r="AB212" s="394"/>
      <c r="AC212" s="394"/>
      <c r="AD212" s="394"/>
      <c r="AE212" s="394"/>
      <c r="AF212" s="394"/>
      <c r="AG212" s="394"/>
      <c r="AH212" s="396"/>
      <c r="AI212" s="471">
        <f t="shared" si="8"/>
        <v>396.5</v>
      </c>
      <c r="AJ212" s="323" t="str">
        <f t="shared" si="7"/>
        <v>Bacs</v>
      </c>
      <c r="AK212" s="575">
        <f t="shared" si="10"/>
        <v>42829</v>
      </c>
      <c r="AL212" s="7" t="str">
        <f t="shared" si="11"/>
        <v>EDM repair</v>
      </c>
    </row>
    <row r="213" spans="1:38" ht="12">
      <c r="A213" s="54">
        <v>217</v>
      </c>
      <c r="B213" s="33">
        <v>42858</v>
      </c>
      <c r="C213" s="38" t="s">
        <v>541</v>
      </c>
      <c r="D213" s="158" t="s">
        <v>253</v>
      </c>
      <c r="E213" s="36"/>
      <c r="F213" s="148"/>
      <c r="G213" s="36"/>
      <c r="H213" s="136"/>
      <c r="I213" s="34"/>
      <c r="J213" s="36"/>
      <c r="K213" s="36"/>
      <c r="L213" s="36"/>
      <c r="M213" s="36"/>
      <c r="N213" s="36"/>
      <c r="O213" s="36"/>
      <c r="P213" s="36"/>
      <c r="Q213" s="36"/>
      <c r="R213" s="34"/>
      <c r="S213" s="34"/>
      <c r="T213" s="36"/>
      <c r="U213" s="36"/>
      <c r="V213" s="36"/>
      <c r="W213" s="36"/>
      <c r="X213" s="36"/>
      <c r="Y213" s="36">
        <v>140</v>
      </c>
      <c r="Z213" s="36"/>
      <c r="AA213" s="36"/>
      <c r="AB213" s="36"/>
      <c r="AC213" s="36"/>
      <c r="AD213" s="36"/>
      <c r="AE213" s="36"/>
      <c r="AF213" s="36"/>
      <c r="AG213" s="36"/>
      <c r="AH213" s="79"/>
      <c r="AI213" s="289">
        <f t="shared" si="8"/>
        <v>140</v>
      </c>
      <c r="AJ213" s="323" t="str">
        <f t="shared" si="7"/>
        <v>Bacs</v>
      </c>
      <c r="AK213" s="575">
        <f t="shared" si="10"/>
        <v>42858</v>
      </c>
      <c r="AL213" s="7" t="str">
        <f t="shared" si="11"/>
        <v>Chorley's Angels</v>
      </c>
    </row>
    <row r="214" spans="1:38" ht="12">
      <c r="A214" s="54">
        <v>218</v>
      </c>
      <c r="B214" s="33">
        <v>42829</v>
      </c>
      <c r="C214" s="38" t="s">
        <v>542</v>
      </c>
      <c r="D214" s="158" t="s">
        <v>253</v>
      </c>
      <c r="E214" s="36"/>
      <c r="F214" s="148"/>
      <c r="G214" s="36">
        <v>800</v>
      </c>
      <c r="H214" s="136"/>
      <c r="I214" s="34"/>
      <c r="J214" s="36"/>
      <c r="K214" s="36"/>
      <c r="L214" s="36"/>
      <c r="M214" s="36"/>
      <c r="N214" s="36"/>
      <c r="O214" s="36"/>
      <c r="P214" s="36"/>
      <c r="Q214" s="36"/>
      <c r="R214" s="34"/>
      <c r="S214" s="34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79"/>
      <c r="AI214" s="289">
        <f t="shared" si="8"/>
        <v>800</v>
      </c>
      <c r="AJ214" s="323" t="str">
        <f t="shared" si="7"/>
        <v>Bacs</v>
      </c>
      <c r="AK214" s="575">
        <f t="shared" si="10"/>
        <v>42829</v>
      </c>
      <c r="AL214" s="7" t="str">
        <f t="shared" si="11"/>
        <v>R Wood 17/02&amp;03</v>
      </c>
    </row>
    <row r="215" spans="1:38" ht="12">
      <c r="A215" s="54">
        <v>219</v>
      </c>
      <c r="B215" s="33">
        <v>42858</v>
      </c>
      <c r="C215" s="38" t="s">
        <v>532</v>
      </c>
      <c r="D215" s="158" t="s">
        <v>253</v>
      </c>
      <c r="E215" s="36"/>
      <c r="F215" s="148"/>
      <c r="G215" s="36"/>
      <c r="H215" s="136"/>
      <c r="I215" s="34"/>
      <c r="J215" s="36"/>
      <c r="K215" s="36"/>
      <c r="L215" s="36"/>
      <c r="M215" s="36"/>
      <c r="N215" s="36"/>
      <c r="O215" s="36"/>
      <c r="P215" s="36"/>
      <c r="Q215" s="36"/>
      <c r="R215" s="34"/>
      <c r="S215" s="34"/>
      <c r="T215" s="36"/>
      <c r="U215" s="36"/>
      <c r="V215" s="36"/>
      <c r="W215" s="36"/>
      <c r="X215" s="36"/>
      <c r="Y215" s="36">
        <v>265</v>
      </c>
      <c r="Z215" s="36"/>
      <c r="AA215" s="36"/>
      <c r="AB215" s="36"/>
      <c r="AC215" s="36"/>
      <c r="AD215" s="36"/>
      <c r="AE215" s="36"/>
      <c r="AF215" s="36"/>
      <c r="AG215" s="36"/>
      <c r="AH215" s="79"/>
      <c r="AI215" s="289">
        <f t="shared" si="8"/>
        <v>265</v>
      </c>
      <c r="AJ215" s="323" t="str">
        <f t="shared" si="7"/>
        <v>Bacs</v>
      </c>
      <c r="AK215" s="575">
        <f t="shared" si="10"/>
        <v>42858</v>
      </c>
      <c r="AL215" s="7" t="str">
        <f t="shared" si="11"/>
        <v>Blackpool Council</v>
      </c>
    </row>
    <row r="216" spans="1:38" ht="12">
      <c r="A216" s="54">
        <v>220</v>
      </c>
      <c r="B216" s="33">
        <v>42825</v>
      </c>
      <c r="C216" s="38" t="s">
        <v>56</v>
      </c>
      <c r="D216" s="158" t="s">
        <v>222</v>
      </c>
      <c r="E216" s="36"/>
      <c r="F216" s="148"/>
      <c r="G216" s="36"/>
      <c r="H216" s="136"/>
      <c r="I216" s="34"/>
      <c r="J216" s="36"/>
      <c r="K216" s="36"/>
      <c r="L216" s="36"/>
      <c r="M216" s="36"/>
      <c r="N216" s="36"/>
      <c r="O216" s="36"/>
      <c r="P216" s="36">
        <v>60.9</v>
      </c>
      <c r="Q216" s="36"/>
      <c r="R216" s="34"/>
      <c r="S216" s="34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79"/>
      <c r="AI216" s="506">
        <f t="shared" si="8"/>
        <v>60.9</v>
      </c>
      <c r="AJ216" s="323" t="str">
        <f t="shared" si="7"/>
        <v>DD</v>
      </c>
      <c r="AK216" s="575">
        <f t="shared" si="10"/>
        <v>42825</v>
      </c>
      <c r="AL216" s="7" t="str">
        <f t="shared" si="11"/>
        <v>Charges</v>
      </c>
    </row>
    <row r="217" spans="1:38" ht="12">
      <c r="A217" s="54">
        <v>221</v>
      </c>
      <c r="B217" s="33">
        <v>42829</v>
      </c>
      <c r="C217" s="38" t="s">
        <v>544</v>
      </c>
      <c r="D217" s="158" t="s">
        <v>253</v>
      </c>
      <c r="E217" s="36"/>
      <c r="F217" s="148"/>
      <c r="G217" s="36"/>
      <c r="H217" s="136"/>
      <c r="I217" s="34"/>
      <c r="J217" s="36"/>
      <c r="K217" s="36"/>
      <c r="L217" s="36"/>
      <c r="M217" s="36"/>
      <c r="N217" s="36"/>
      <c r="O217" s="36"/>
      <c r="P217" s="36"/>
      <c r="Q217" s="36"/>
      <c r="R217" s="34"/>
      <c r="S217" s="34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>
        <v>35.56</v>
      </c>
      <c r="AG217" s="36"/>
      <c r="AH217" s="79"/>
      <c r="AI217" s="289">
        <f t="shared" si="8"/>
        <v>35.56</v>
      </c>
      <c r="AJ217" s="323" t="str">
        <f t="shared" si="7"/>
        <v>Bacs</v>
      </c>
      <c r="AK217" s="575">
        <f t="shared" si="10"/>
        <v>42829</v>
      </c>
      <c r="AL217" s="7" t="str">
        <f t="shared" si="11"/>
        <v>E Clayton</v>
      </c>
    </row>
    <row r="218" spans="1:38" ht="12">
      <c r="A218" s="54">
        <v>222</v>
      </c>
      <c r="B218" s="33">
        <v>42829</v>
      </c>
      <c r="C218" s="38" t="s">
        <v>545</v>
      </c>
      <c r="D218" s="158" t="s">
        <v>253</v>
      </c>
      <c r="E218" s="36"/>
      <c r="F218" s="148"/>
      <c r="G218" s="36"/>
      <c r="H218" s="136"/>
      <c r="I218" s="34"/>
      <c r="J218" s="36"/>
      <c r="K218" s="36"/>
      <c r="L218" s="36"/>
      <c r="M218" s="36"/>
      <c r="N218" s="36"/>
      <c r="O218" s="36"/>
      <c r="P218" s="36"/>
      <c r="Q218" s="36"/>
      <c r="R218" s="34"/>
      <c r="S218" s="34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>
        <v>8.6</v>
      </c>
      <c r="AG218" s="36"/>
      <c r="AH218" s="79"/>
      <c r="AI218" s="289">
        <f t="shared" si="8"/>
        <v>8.6</v>
      </c>
      <c r="AJ218" s="323" t="str">
        <f t="shared" si="7"/>
        <v>Bacs</v>
      </c>
      <c r="AK218" s="575">
        <f t="shared" si="10"/>
        <v>42829</v>
      </c>
      <c r="AL218" s="7" t="str">
        <f t="shared" si="11"/>
        <v>L Howarth</v>
      </c>
    </row>
    <row r="219" spans="1:38" ht="12">
      <c r="A219" s="54">
        <v>223</v>
      </c>
      <c r="B219" s="33">
        <v>42829</v>
      </c>
      <c r="C219" s="38" t="s">
        <v>407</v>
      </c>
      <c r="D219" s="158" t="s">
        <v>253</v>
      </c>
      <c r="E219" s="36"/>
      <c r="F219" s="148"/>
      <c r="G219" s="36"/>
      <c r="H219" s="136"/>
      <c r="I219" s="34"/>
      <c r="J219" s="36"/>
      <c r="K219" s="36"/>
      <c r="L219" s="36"/>
      <c r="M219" s="36"/>
      <c r="N219" s="36"/>
      <c r="O219" s="36"/>
      <c r="P219" s="36"/>
      <c r="Q219" s="36"/>
      <c r="R219" s="34"/>
      <c r="S219" s="34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>
        <v>141.17</v>
      </c>
      <c r="AF219" s="36"/>
      <c r="AG219" s="36"/>
      <c r="AH219" s="79"/>
      <c r="AI219" s="289">
        <f t="shared" si="8"/>
        <v>141.17</v>
      </c>
      <c r="AJ219" s="323" t="str">
        <f t="shared" si="7"/>
        <v>Bacs</v>
      </c>
      <c r="AK219" s="575">
        <f t="shared" si="10"/>
        <v>42829</v>
      </c>
      <c r="AL219" s="7" t="str">
        <f t="shared" si="11"/>
        <v>S Gaines</v>
      </c>
    </row>
    <row r="220" spans="1:38" ht="12">
      <c r="A220" s="54">
        <v>224</v>
      </c>
      <c r="B220" s="33">
        <v>42829</v>
      </c>
      <c r="C220" s="38" t="s">
        <v>474</v>
      </c>
      <c r="D220" s="158" t="s">
        <v>253</v>
      </c>
      <c r="E220" s="36"/>
      <c r="F220" s="148"/>
      <c r="G220" s="36"/>
      <c r="H220" s="136"/>
      <c r="I220" s="34"/>
      <c r="J220" s="36"/>
      <c r="K220" s="36"/>
      <c r="L220" s="36"/>
      <c r="M220" s="36"/>
      <c r="N220" s="36"/>
      <c r="O220" s="36"/>
      <c r="P220" s="36"/>
      <c r="Q220" s="36"/>
      <c r="R220" s="34"/>
      <c r="S220" s="34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>
        <v>88.6</v>
      </c>
      <c r="AF220" s="36"/>
      <c r="AG220" s="36"/>
      <c r="AH220" s="79"/>
      <c r="AI220" s="289">
        <f t="shared" si="8"/>
        <v>88.6</v>
      </c>
      <c r="AJ220" s="323" t="str">
        <f t="shared" si="7"/>
        <v>Bacs</v>
      </c>
      <c r="AK220" s="575">
        <f t="shared" si="10"/>
        <v>42829</v>
      </c>
      <c r="AL220" s="7" t="str">
        <f t="shared" si="11"/>
        <v>J Massingham</v>
      </c>
    </row>
    <row r="221" spans="1:38" ht="12">
      <c r="A221" s="54">
        <v>225</v>
      </c>
      <c r="B221" s="33">
        <v>42829</v>
      </c>
      <c r="C221" s="38" t="s">
        <v>553</v>
      </c>
      <c r="D221" s="158" t="s">
        <v>253</v>
      </c>
      <c r="E221" s="36"/>
      <c r="F221" s="148"/>
      <c r="G221" s="36"/>
      <c r="H221" s="136"/>
      <c r="I221" s="34"/>
      <c r="J221" s="36"/>
      <c r="K221" s="36"/>
      <c r="L221" s="36"/>
      <c r="M221" s="36"/>
      <c r="N221" s="36"/>
      <c r="O221" s="36"/>
      <c r="P221" s="36"/>
      <c r="Q221" s="36"/>
      <c r="R221" s="34"/>
      <c r="S221" s="34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>
        <v>110</v>
      </c>
      <c r="AF221" s="36"/>
      <c r="AG221" s="36"/>
      <c r="AH221" s="79"/>
      <c r="AI221" s="289">
        <f t="shared" si="8"/>
        <v>110</v>
      </c>
      <c r="AJ221" s="323" t="str">
        <f t="shared" si="7"/>
        <v>Bacs</v>
      </c>
      <c r="AK221" s="575">
        <f t="shared" si="10"/>
        <v>42829</v>
      </c>
      <c r="AL221" s="7" t="str">
        <f t="shared" si="11"/>
        <v>C Slack</v>
      </c>
    </row>
    <row r="222" spans="1:38" ht="12">
      <c r="A222" s="54">
        <v>226</v>
      </c>
      <c r="B222" s="33">
        <v>42825</v>
      </c>
      <c r="C222" s="38" t="s">
        <v>546</v>
      </c>
      <c r="D222" s="158">
        <v>3929</v>
      </c>
      <c r="E222" s="36"/>
      <c r="F222" s="148"/>
      <c r="G222" s="36"/>
      <c r="H222" s="136"/>
      <c r="I222" s="34"/>
      <c r="J222" s="36"/>
      <c r="K222" s="36"/>
      <c r="L222" s="36"/>
      <c r="M222" s="36"/>
      <c r="N222" s="36"/>
      <c r="O222" s="36"/>
      <c r="P222" s="36"/>
      <c r="Q222" s="36"/>
      <c r="R222" s="34"/>
      <c r="S222" s="34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>
        <v>20.4</v>
      </c>
      <c r="AF222" s="36"/>
      <c r="AG222" s="36"/>
      <c r="AH222" s="79"/>
      <c r="AI222" s="289">
        <f t="shared" si="8"/>
        <v>20.4</v>
      </c>
      <c r="AJ222" s="323">
        <f t="shared" si="7"/>
        <v>3929</v>
      </c>
      <c r="AK222" s="575">
        <f t="shared" si="10"/>
        <v>42825</v>
      </c>
      <c r="AL222" s="7" t="str">
        <f t="shared" si="11"/>
        <v>H Powell</v>
      </c>
    </row>
    <row r="223" spans="1:38" ht="12">
      <c r="A223" s="54">
        <v>227</v>
      </c>
      <c r="B223" s="33">
        <v>42825</v>
      </c>
      <c r="C223" s="38" t="s">
        <v>547</v>
      </c>
      <c r="D223" s="158">
        <v>3930</v>
      </c>
      <c r="E223" s="36"/>
      <c r="F223" s="148"/>
      <c r="G223" s="36"/>
      <c r="H223" s="136"/>
      <c r="I223" s="34"/>
      <c r="J223" s="36"/>
      <c r="K223" s="36"/>
      <c r="L223" s="36"/>
      <c r="M223" s="36"/>
      <c r="N223" s="36"/>
      <c r="O223" s="36"/>
      <c r="P223" s="36"/>
      <c r="Q223" s="36"/>
      <c r="R223" s="34"/>
      <c r="S223" s="34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>
        <v>15.5</v>
      </c>
      <c r="AF223" s="36"/>
      <c r="AG223" s="36"/>
      <c r="AH223" s="79"/>
      <c r="AI223" s="289">
        <f t="shared" si="8"/>
        <v>15.5</v>
      </c>
      <c r="AJ223" s="323">
        <f t="shared" si="6"/>
        <v>3930</v>
      </c>
      <c r="AK223" s="575">
        <f t="shared" si="10"/>
        <v>42825</v>
      </c>
      <c r="AL223" s="7" t="str">
        <f t="shared" si="11"/>
        <v>J Schofield</v>
      </c>
    </row>
    <row r="224" spans="1:38" ht="12">
      <c r="A224" s="54">
        <v>228</v>
      </c>
      <c r="B224" s="33">
        <v>42829</v>
      </c>
      <c r="C224" s="38" t="s">
        <v>548</v>
      </c>
      <c r="D224" s="158" t="s">
        <v>253</v>
      </c>
      <c r="E224" s="36"/>
      <c r="F224" s="148"/>
      <c r="G224" s="36"/>
      <c r="H224" s="136"/>
      <c r="I224" s="34"/>
      <c r="J224" s="36"/>
      <c r="K224" s="36"/>
      <c r="L224" s="36"/>
      <c r="M224" s="36"/>
      <c r="N224" s="36"/>
      <c r="O224" s="36"/>
      <c r="P224" s="36"/>
      <c r="Q224" s="36">
        <v>581.4</v>
      </c>
      <c r="R224" s="34"/>
      <c r="S224" s="34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79"/>
      <c r="AI224" s="289">
        <f t="shared" si="8"/>
        <v>581.4</v>
      </c>
      <c r="AJ224" s="323" t="str">
        <f t="shared" si="6"/>
        <v>Bacs</v>
      </c>
      <c r="AK224" s="575">
        <f t="shared" si="10"/>
        <v>42829</v>
      </c>
      <c r="AL224" s="7" t="str">
        <f t="shared" si="11"/>
        <v>Ridgeway Textiles</v>
      </c>
    </row>
    <row r="225" spans="1:38" ht="12">
      <c r="A225" s="54">
        <v>229</v>
      </c>
      <c r="B225" s="33">
        <v>42830</v>
      </c>
      <c r="C225" s="38" t="s">
        <v>319</v>
      </c>
      <c r="D225" s="158" t="s">
        <v>222</v>
      </c>
      <c r="E225" s="36"/>
      <c r="F225" s="148"/>
      <c r="G225" s="36"/>
      <c r="H225" s="136"/>
      <c r="I225" s="34"/>
      <c r="J225" s="36">
        <v>257.82</v>
      </c>
      <c r="K225" s="36"/>
      <c r="L225" s="36"/>
      <c r="M225" s="36"/>
      <c r="N225" s="36"/>
      <c r="O225" s="36"/>
      <c r="P225" s="36"/>
      <c r="Q225" s="36"/>
      <c r="R225" s="34"/>
      <c r="S225" s="34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79"/>
      <c r="AI225" s="289">
        <f t="shared" si="8"/>
        <v>257.82</v>
      </c>
      <c r="AJ225" s="323" t="str">
        <f aca="true" t="shared" si="12" ref="AJ225:AJ235">D225</f>
        <v>DD</v>
      </c>
      <c r="AK225" s="575">
        <f t="shared" si="10"/>
        <v>42830</v>
      </c>
      <c r="AL225" s="7" t="str">
        <f t="shared" si="11"/>
        <v>Card</v>
      </c>
    </row>
    <row r="226" spans="1:38" ht="12">
      <c r="A226" s="54">
        <v>230</v>
      </c>
      <c r="B226" s="33">
        <v>42801</v>
      </c>
      <c r="C226" s="38" t="s">
        <v>319</v>
      </c>
      <c r="D226" s="158" t="s">
        <v>222</v>
      </c>
      <c r="E226" s="36"/>
      <c r="F226" s="148"/>
      <c r="G226" s="36"/>
      <c r="H226" s="136"/>
      <c r="I226" s="34"/>
      <c r="J226" s="36">
        <f>1174.22-S226-T226</f>
        <v>273.72</v>
      </c>
      <c r="K226" s="36"/>
      <c r="L226" s="36"/>
      <c r="M226" s="36"/>
      <c r="N226" s="36"/>
      <c r="O226" s="36"/>
      <c r="P226" s="36"/>
      <c r="Q226" s="36"/>
      <c r="R226" s="34"/>
      <c r="S226" s="34">
        <v>88.5</v>
      </c>
      <c r="T226" s="36">
        <v>812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79"/>
      <c r="AI226" s="506">
        <f t="shared" si="8"/>
        <v>1174.22</v>
      </c>
      <c r="AJ226" s="323" t="str">
        <f t="shared" si="12"/>
        <v>DD</v>
      </c>
      <c r="AK226" s="575">
        <f t="shared" si="10"/>
        <v>42801</v>
      </c>
      <c r="AL226" s="7" t="str">
        <f t="shared" si="11"/>
        <v>Card</v>
      </c>
    </row>
    <row r="227" spans="1:38" ht="12">
      <c r="A227" s="54">
        <v>231</v>
      </c>
      <c r="B227" s="33">
        <v>42832</v>
      </c>
      <c r="C227" s="38" t="s">
        <v>249</v>
      </c>
      <c r="D227" s="158" t="s">
        <v>253</v>
      </c>
      <c r="E227" s="36"/>
      <c r="F227" s="148"/>
      <c r="G227" s="36"/>
      <c r="H227" s="136"/>
      <c r="I227" s="34"/>
      <c r="J227" s="36"/>
      <c r="K227" s="36">
        <v>116</v>
      </c>
      <c r="L227" s="36"/>
      <c r="M227" s="36"/>
      <c r="N227" s="36"/>
      <c r="O227" s="36"/>
      <c r="P227" s="36"/>
      <c r="Q227" s="36"/>
      <c r="R227" s="34"/>
      <c r="S227" s="34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79"/>
      <c r="AI227" s="289">
        <f t="shared" si="8"/>
        <v>116</v>
      </c>
      <c r="AJ227" s="323" t="str">
        <f t="shared" si="12"/>
        <v>Bacs</v>
      </c>
      <c r="AK227" s="575">
        <f t="shared" si="10"/>
        <v>42832</v>
      </c>
      <c r="AL227" s="7" t="str">
        <f t="shared" si="11"/>
        <v>K Smith</v>
      </c>
    </row>
    <row r="228" spans="1:38" ht="12">
      <c r="A228" s="54">
        <v>232</v>
      </c>
      <c r="B228" s="33">
        <v>42858</v>
      </c>
      <c r="C228" s="38" t="s">
        <v>368</v>
      </c>
      <c r="D228" s="158" t="s">
        <v>253</v>
      </c>
      <c r="E228" s="36"/>
      <c r="F228" s="148"/>
      <c r="G228" s="36"/>
      <c r="H228" s="136"/>
      <c r="I228" s="34"/>
      <c r="J228" s="36"/>
      <c r="K228" s="36"/>
      <c r="L228" s="36"/>
      <c r="M228" s="36"/>
      <c r="N228" s="36"/>
      <c r="O228" s="36"/>
      <c r="P228" s="36"/>
      <c r="Q228" s="36"/>
      <c r="R228" s="34"/>
      <c r="S228" s="34"/>
      <c r="T228" s="36"/>
      <c r="U228" s="36"/>
      <c r="V228" s="36"/>
      <c r="W228" s="36"/>
      <c r="X228" s="36"/>
      <c r="Y228" s="36">
        <v>24</v>
      </c>
      <c r="Z228" s="36"/>
      <c r="AA228" s="36"/>
      <c r="AB228" s="36"/>
      <c r="AC228" s="36"/>
      <c r="AD228" s="36"/>
      <c r="AE228" s="36"/>
      <c r="AF228" s="36"/>
      <c r="AG228" s="36"/>
      <c r="AH228" s="79"/>
      <c r="AI228" s="289">
        <f t="shared" si="8"/>
        <v>24</v>
      </c>
      <c r="AJ228" s="323" t="str">
        <f t="shared" si="12"/>
        <v>Bacs</v>
      </c>
      <c r="AK228" s="575">
        <f t="shared" si="10"/>
        <v>42858</v>
      </c>
      <c r="AL228" s="7" t="str">
        <f t="shared" si="11"/>
        <v>A Williams</v>
      </c>
    </row>
    <row r="229" spans="1:38" ht="12">
      <c r="A229" s="54">
        <v>233</v>
      </c>
      <c r="B229" s="33">
        <v>42858</v>
      </c>
      <c r="C229" s="38" t="s">
        <v>348</v>
      </c>
      <c r="D229" s="158" t="s">
        <v>253</v>
      </c>
      <c r="E229" s="36"/>
      <c r="F229" s="148"/>
      <c r="G229" s="36"/>
      <c r="H229" s="136"/>
      <c r="I229" s="34"/>
      <c r="J229" s="36"/>
      <c r="K229" s="36"/>
      <c r="L229" s="36"/>
      <c r="M229" s="36"/>
      <c r="N229" s="36"/>
      <c r="O229" s="36"/>
      <c r="P229" s="36"/>
      <c r="Q229" s="36"/>
      <c r="R229" s="34"/>
      <c r="S229" s="34">
        <v>438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79"/>
      <c r="AI229" s="289">
        <f t="shared" si="8"/>
        <v>438</v>
      </c>
      <c r="AJ229" s="323" t="str">
        <f t="shared" si="12"/>
        <v>Bacs</v>
      </c>
      <c r="AK229" s="575">
        <f t="shared" si="10"/>
        <v>42858</v>
      </c>
      <c r="AL229" s="7" t="str">
        <f t="shared" si="11"/>
        <v>HS Sports</v>
      </c>
    </row>
    <row r="230" spans="1:38" ht="12">
      <c r="A230" s="54">
        <v>234</v>
      </c>
      <c r="B230" s="33">
        <v>42858</v>
      </c>
      <c r="C230" s="38" t="s">
        <v>555</v>
      </c>
      <c r="D230" s="345" t="s">
        <v>253</v>
      </c>
      <c r="E230" s="36"/>
      <c r="F230" s="148"/>
      <c r="G230" s="36"/>
      <c r="H230" s="136"/>
      <c r="I230" s="34"/>
      <c r="J230" s="36"/>
      <c r="K230" s="36"/>
      <c r="L230" s="36"/>
      <c r="M230" s="36"/>
      <c r="N230" s="36"/>
      <c r="O230" s="36"/>
      <c r="P230" s="36"/>
      <c r="Q230" s="36"/>
      <c r="R230" s="34"/>
      <c r="S230" s="34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>
        <v>43</v>
      </c>
      <c r="AF230" s="36"/>
      <c r="AG230" s="36"/>
      <c r="AH230" s="79"/>
      <c r="AI230" s="289">
        <f t="shared" si="8"/>
        <v>43</v>
      </c>
      <c r="AJ230" s="323" t="str">
        <f t="shared" si="12"/>
        <v>Bacs</v>
      </c>
      <c r="AK230" s="575">
        <f t="shared" si="10"/>
        <v>42858</v>
      </c>
      <c r="AL230" s="7" t="str">
        <f t="shared" si="11"/>
        <v>C Farrell</v>
      </c>
    </row>
    <row r="231" spans="1:38" ht="12">
      <c r="A231" s="54">
        <v>235</v>
      </c>
      <c r="B231" s="33">
        <v>42858</v>
      </c>
      <c r="C231" s="38" t="s">
        <v>556</v>
      </c>
      <c r="D231" s="158" t="s">
        <v>253</v>
      </c>
      <c r="E231" s="36"/>
      <c r="F231" s="148"/>
      <c r="G231" s="36"/>
      <c r="H231" s="136"/>
      <c r="I231" s="34"/>
      <c r="J231" s="36"/>
      <c r="K231" s="36"/>
      <c r="L231" s="36"/>
      <c r="M231" s="36"/>
      <c r="N231" s="36"/>
      <c r="O231" s="36"/>
      <c r="P231" s="36"/>
      <c r="Q231" s="36"/>
      <c r="R231" s="34"/>
      <c r="S231" s="34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>
        <v>82.4</v>
      </c>
      <c r="AF231" s="36"/>
      <c r="AG231" s="36"/>
      <c r="AH231" s="79"/>
      <c r="AI231" s="289">
        <f t="shared" si="8"/>
        <v>82.4</v>
      </c>
      <c r="AJ231" s="323" t="str">
        <f t="shared" si="12"/>
        <v>Bacs</v>
      </c>
      <c r="AK231" s="575">
        <f t="shared" si="10"/>
        <v>42858</v>
      </c>
      <c r="AL231" s="7" t="str">
        <f t="shared" si="11"/>
        <v>S Murphy</v>
      </c>
    </row>
    <row r="232" spans="1:38" ht="12">
      <c r="A232" s="54">
        <v>236</v>
      </c>
      <c r="B232" s="33">
        <v>42858</v>
      </c>
      <c r="C232" s="38" t="s">
        <v>557</v>
      </c>
      <c r="D232" s="158" t="s">
        <v>253</v>
      </c>
      <c r="E232" s="36"/>
      <c r="F232" s="148"/>
      <c r="G232" s="36"/>
      <c r="H232" s="136"/>
      <c r="I232" s="34"/>
      <c r="J232" s="36"/>
      <c r="K232" s="36"/>
      <c r="L232" s="36"/>
      <c r="M232" s="36"/>
      <c r="N232" s="36"/>
      <c r="O232" s="36"/>
      <c r="P232" s="36"/>
      <c r="Q232" s="36"/>
      <c r="R232" s="34"/>
      <c r="S232" s="34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>
        <v>144.8</v>
      </c>
      <c r="AG232" s="36"/>
      <c r="AH232" s="79"/>
      <c r="AI232" s="289">
        <f t="shared" si="8"/>
        <v>144.8</v>
      </c>
      <c r="AJ232" s="323" t="str">
        <f t="shared" si="12"/>
        <v>Bacs</v>
      </c>
      <c r="AK232" s="575">
        <f t="shared" si="10"/>
        <v>42858</v>
      </c>
      <c r="AL232" s="7" t="str">
        <f t="shared" si="11"/>
        <v>C Parr</v>
      </c>
    </row>
    <row r="233" spans="1:38" ht="12">
      <c r="A233" s="54">
        <v>237</v>
      </c>
      <c r="B233" s="33">
        <v>42858</v>
      </c>
      <c r="C233" s="38" t="s">
        <v>558</v>
      </c>
      <c r="D233" s="158" t="s">
        <v>253</v>
      </c>
      <c r="E233" s="36"/>
      <c r="F233" s="148"/>
      <c r="G233" s="36"/>
      <c r="H233" s="136"/>
      <c r="I233" s="34"/>
      <c r="J233" s="36"/>
      <c r="K233" s="36"/>
      <c r="L233" s="36"/>
      <c r="M233" s="36"/>
      <c r="N233" s="36"/>
      <c r="O233" s="36"/>
      <c r="P233" s="36"/>
      <c r="Q233" s="36"/>
      <c r="R233" s="34"/>
      <c r="S233" s="34"/>
      <c r="T233" s="36"/>
      <c r="U233" s="36"/>
      <c r="V233" s="36"/>
      <c r="W233" s="36"/>
      <c r="X233" s="36"/>
      <c r="Y233" s="36">
        <v>83.6</v>
      </c>
      <c r="Z233" s="36"/>
      <c r="AA233" s="36"/>
      <c r="AB233" s="36"/>
      <c r="AC233" s="36"/>
      <c r="AD233" s="36"/>
      <c r="AE233" s="36"/>
      <c r="AF233" s="36"/>
      <c r="AG233" s="36"/>
      <c r="AH233" s="79"/>
      <c r="AI233" s="289">
        <f t="shared" si="8"/>
        <v>83.6</v>
      </c>
      <c r="AJ233" s="323" t="str">
        <f t="shared" si="12"/>
        <v>Bacs</v>
      </c>
      <c r="AK233" s="575">
        <f t="shared" si="10"/>
        <v>42858</v>
      </c>
      <c r="AL233" s="7" t="str">
        <f t="shared" si="11"/>
        <v>T Wood</v>
      </c>
    </row>
    <row r="234" spans="1:39" ht="12">
      <c r="A234" s="54">
        <v>238</v>
      </c>
      <c r="B234" s="33">
        <v>42949</v>
      </c>
      <c r="C234" s="38" t="s">
        <v>570</v>
      </c>
      <c r="D234" s="295" t="s">
        <v>253</v>
      </c>
      <c r="E234" s="36"/>
      <c r="F234" s="148"/>
      <c r="G234" s="36"/>
      <c r="H234" s="136"/>
      <c r="I234" s="34">
        <v>49.68</v>
      </c>
      <c r="J234" s="36"/>
      <c r="K234" s="36"/>
      <c r="L234" s="36"/>
      <c r="M234" s="36"/>
      <c r="N234" s="36"/>
      <c r="O234" s="36"/>
      <c r="P234" s="36"/>
      <c r="Q234" s="36"/>
      <c r="R234" s="34"/>
      <c r="S234" s="34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79"/>
      <c r="AI234" s="506">
        <f t="shared" si="8"/>
        <v>49.68</v>
      </c>
      <c r="AJ234" s="323" t="str">
        <f t="shared" si="12"/>
        <v>Bacs</v>
      </c>
      <c r="AK234" s="7">
        <f t="shared" si="10"/>
        <v>42949</v>
      </c>
      <c r="AL234" s="7" t="str">
        <f t="shared" si="11"/>
        <v>Masterplan</v>
      </c>
      <c r="AM234" s="7" t="s">
        <v>571</v>
      </c>
    </row>
    <row r="235" spans="1:38" ht="12">
      <c r="A235" s="54">
        <v>239</v>
      </c>
      <c r="B235" s="33">
        <v>42920</v>
      </c>
      <c r="C235" s="38" t="s">
        <v>573</v>
      </c>
      <c r="D235" s="158" t="s">
        <v>360</v>
      </c>
      <c r="E235" s="36"/>
      <c r="F235" s="148"/>
      <c r="G235" s="36"/>
      <c r="H235" s="136"/>
      <c r="I235" s="34"/>
      <c r="J235" s="36">
        <v>30</v>
      </c>
      <c r="K235" s="36"/>
      <c r="L235" s="36"/>
      <c r="M235" s="36"/>
      <c r="N235" s="36"/>
      <c r="O235" s="36"/>
      <c r="P235" s="36"/>
      <c r="Q235" s="36"/>
      <c r="R235" s="34"/>
      <c r="S235" s="34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79"/>
      <c r="AI235" s="506">
        <f t="shared" si="8"/>
        <v>30</v>
      </c>
      <c r="AJ235" s="323" t="str">
        <f t="shared" si="12"/>
        <v>AC</v>
      </c>
      <c r="AK235" s="7">
        <f t="shared" si="10"/>
        <v>42920</v>
      </c>
      <c r="AL235" s="7" t="str">
        <f t="shared" si="11"/>
        <v>Returned cheque</v>
      </c>
    </row>
    <row r="236" spans="1:37" ht="12">
      <c r="A236" s="54">
        <v>273</v>
      </c>
      <c r="B236" s="334">
        <v>42935</v>
      </c>
      <c r="C236" s="177"/>
      <c r="D236" s="335">
        <v>3865</v>
      </c>
      <c r="E236" s="336"/>
      <c r="F236" s="99"/>
      <c r="G236" s="336"/>
      <c r="H236" s="99"/>
      <c r="I236" s="336"/>
      <c r="J236" s="336">
        <v>29.32</v>
      </c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6"/>
      <c r="AA236" s="336"/>
      <c r="AB236" s="336"/>
      <c r="AC236" s="336"/>
      <c r="AD236" s="336"/>
      <c r="AE236" s="336"/>
      <c r="AF236" s="336"/>
      <c r="AG236" s="336"/>
      <c r="AH236" s="99"/>
      <c r="AI236" s="506">
        <f t="shared" si="8"/>
        <v>29.32</v>
      </c>
      <c r="AJ236" s="323">
        <f>D236</f>
        <v>3865</v>
      </c>
      <c r="AK236" s="7">
        <f t="shared" si="10"/>
        <v>42935</v>
      </c>
    </row>
    <row r="237" spans="1:37" ht="12">
      <c r="A237" s="322">
        <v>274</v>
      </c>
      <c r="B237" s="334">
        <v>42831</v>
      </c>
      <c r="C237" s="177" t="s">
        <v>225</v>
      </c>
      <c r="D237" s="335">
        <v>3876</v>
      </c>
      <c r="E237" s="336"/>
      <c r="F237" s="99"/>
      <c r="G237" s="336"/>
      <c r="H237" s="99"/>
      <c r="I237" s="336"/>
      <c r="J237" s="336">
        <v>320.4</v>
      </c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99"/>
      <c r="AI237" s="506">
        <f t="shared" si="8"/>
        <v>320.4</v>
      </c>
      <c r="AJ237" s="323">
        <f>D237</f>
        <v>3876</v>
      </c>
      <c r="AK237" s="7">
        <f t="shared" si="10"/>
        <v>42831</v>
      </c>
    </row>
    <row r="238" spans="1:36" ht="12">
      <c r="A238" s="322"/>
      <c r="B238" s="334"/>
      <c r="C238" s="177" t="s">
        <v>577</v>
      </c>
      <c r="D238" s="335"/>
      <c r="E238" s="336"/>
      <c r="F238" s="99"/>
      <c r="G238" s="336"/>
      <c r="H238" s="99"/>
      <c r="I238" s="336"/>
      <c r="J238" s="336">
        <v>251.56</v>
      </c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6"/>
      <c r="AA238" s="336"/>
      <c r="AB238" s="336"/>
      <c r="AC238" s="336"/>
      <c r="AD238" s="336"/>
      <c r="AE238" s="336"/>
      <c r="AF238" s="336"/>
      <c r="AG238" s="336"/>
      <c r="AH238" s="99"/>
      <c r="AI238" s="506">
        <f t="shared" si="8"/>
        <v>251.56</v>
      </c>
      <c r="AJ238" s="323"/>
    </row>
    <row r="239" spans="1:36" ht="12">
      <c r="A239" s="322"/>
      <c r="B239" s="37"/>
      <c r="C239" s="37"/>
      <c r="D239" s="322"/>
      <c r="E239" s="68"/>
      <c r="F239" s="310"/>
      <c r="G239" s="68"/>
      <c r="H239" s="324"/>
      <c r="I239" s="325"/>
      <c r="J239" s="311"/>
      <c r="K239" s="68"/>
      <c r="L239" s="311"/>
      <c r="M239" s="68"/>
      <c r="N239" s="311"/>
      <c r="O239" s="311"/>
      <c r="P239" s="68"/>
      <c r="Q239" s="68"/>
      <c r="R239" s="325"/>
      <c r="S239" s="325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311"/>
      <c r="AE239" s="68"/>
      <c r="AF239" s="68"/>
      <c r="AG239" s="68"/>
      <c r="AH239" s="326"/>
      <c r="AI239" s="289">
        <f>SUM(E239:AH239)</f>
        <v>0</v>
      </c>
      <c r="AJ239" s="37"/>
    </row>
    <row r="240" spans="1:36" ht="12">
      <c r="A240" s="322"/>
      <c r="B240" s="328"/>
      <c r="C240" s="328"/>
      <c r="D240" s="327"/>
      <c r="E240" s="329"/>
      <c r="F240" s="330"/>
      <c r="G240" s="329"/>
      <c r="H240" s="331"/>
      <c r="I240" s="332"/>
      <c r="J240" s="333"/>
      <c r="K240" s="329"/>
      <c r="L240" s="333"/>
      <c r="M240" s="329"/>
      <c r="N240" s="333"/>
      <c r="O240" s="333"/>
      <c r="P240" s="329"/>
      <c r="Q240" s="329"/>
      <c r="R240" s="332"/>
      <c r="S240" s="332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33"/>
      <c r="AE240" s="329"/>
      <c r="AF240" s="329"/>
      <c r="AG240" s="329"/>
      <c r="AH240" s="346"/>
      <c r="AI240" s="289"/>
      <c r="AJ240" s="328"/>
    </row>
    <row r="241" spans="35:36" ht="12">
      <c r="AI241" s="583"/>
      <c r="AJ241" s="328"/>
    </row>
    <row r="242" spans="2:37" ht="12">
      <c r="B242" s="33"/>
      <c r="C242" s="60" t="s">
        <v>31</v>
      </c>
      <c r="D242" s="158"/>
      <c r="E242" s="163">
        <f aca="true" t="shared" si="13" ref="E242:AH242">SUM(E6:E241)</f>
        <v>42082.54</v>
      </c>
      <c r="F242" s="163">
        <f t="shared" si="13"/>
        <v>9265.59</v>
      </c>
      <c r="G242" s="163">
        <f t="shared" si="13"/>
        <v>7576.77</v>
      </c>
      <c r="H242" s="163">
        <f t="shared" si="13"/>
        <v>470.86</v>
      </c>
      <c r="I242" s="163">
        <f t="shared" si="13"/>
        <v>1221.79</v>
      </c>
      <c r="J242" s="163">
        <f t="shared" si="13"/>
        <v>4526.820000000001</v>
      </c>
      <c r="K242" s="163">
        <f t="shared" si="13"/>
        <v>2645.958</v>
      </c>
      <c r="L242" s="163">
        <f t="shared" si="13"/>
        <v>0</v>
      </c>
      <c r="M242" s="163">
        <f t="shared" si="13"/>
        <v>1940.57</v>
      </c>
      <c r="N242" s="163">
        <f t="shared" si="13"/>
        <v>2190</v>
      </c>
      <c r="O242" s="163">
        <f t="shared" si="13"/>
        <v>16.2</v>
      </c>
      <c r="P242" s="163">
        <f t="shared" si="13"/>
        <v>592.3900000000001</v>
      </c>
      <c r="Q242" s="163">
        <f t="shared" si="13"/>
        <v>5564.15</v>
      </c>
      <c r="R242" s="163">
        <f t="shared" si="13"/>
        <v>0</v>
      </c>
      <c r="S242" s="163">
        <f t="shared" si="13"/>
        <v>5781.42</v>
      </c>
      <c r="T242" s="163">
        <f t="shared" si="13"/>
        <v>6659.049999999999</v>
      </c>
      <c r="U242" s="163">
        <f t="shared" si="13"/>
        <v>8854.01</v>
      </c>
      <c r="V242" s="163">
        <f t="shared" si="13"/>
        <v>16054.2</v>
      </c>
      <c r="W242" s="163">
        <f t="shared" si="13"/>
        <v>3271.42</v>
      </c>
      <c r="X242" s="163">
        <f t="shared" si="13"/>
        <v>10262.842</v>
      </c>
      <c r="Y242" s="163">
        <f t="shared" si="13"/>
        <v>4827.06</v>
      </c>
      <c r="Z242" s="163">
        <f t="shared" si="13"/>
        <v>0</v>
      </c>
      <c r="AA242" s="163">
        <f t="shared" si="13"/>
        <v>264</v>
      </c>
      <c r="AB242" s="163">
        <f t="shared" si="13"/>
        <v>6193</v>
      </c>
      <c r="AC242" s="163">
        <f t="shared" si="13"/>
        <v>4336.139999999999</v>
      </c>
      <c r="AD242" s="163">
        <f t="shared" si="13"/>
        <v>0</v>
      </c>
      <c r="AE242" s="163">
        <f t="shared" si="13"/>
        <v>4816.049999999999</v>
      </c>
      <c r="AF242" s="163">
        <f t="shared" si="13"/>
        <v>692.1400000000001</v>
      </c>
      <c r="AG242" s="163">
        <f t="shared" si="13"/>
        <v>0</v>
      </c>
      <c r="AH242" s="163">
        <f t="shared" si="13"/>
        <v>0</v>
      </c>
      <c r="AI242" s="163">
        <f>SUM(AI6:AI241)</f>
        <v>150104.97</v>
      </c>
      <c r="AK242" s="6">
        <f>SUM(E242:AH242)</f>
        <v>150104.97000000003</v>
      </c>
    </row>
    <row r="243" spans="3:33" ht="15">
      <c r="C243"/>
      <c r="D243" s="83"/>
      <c r="E243" s="257">
        <v>21</v>
      </c>
      <c r="F243" s="257">
        <v>22</v>
      </c>
      <c r="G243" s="257">
        <v>23</v>
      </c>
      <c r="H243" s="257">
        <v>23</v>
      </c>
      <c r="I243" s="257">
        <v>23</v>
      </c>
      <c r="J243" s="257">
        <v>23</v>
      </c>
      <c r="K243" s="257">
        <v>24</v>
      </c>
      <c r="L243" s="257">
        <v>23</v>
      </c>
      <c r="M243" s="257">
        <v>23</v>
      </c>
      <c r="N243" s="257">
        <v>27</v>
      </c>
      <c r="O243" s="257">
        <v>26</v>
      </c>
      <c r="P243" s="257">
        <v>23</v>
      </c>
      <c r="Q243" s="257">
        <v>25</v>
      </c>
      <c r="R243" s="257">
        <v>19</v>
      </c>
      <c r="S243" s="257">
        <v>19</v>
      </c>
      <c r="T243" s="258">
        <v>28</v>
      </c>
      <c r="U243" s="258">
        <v>28</v>
      </c>
      <c r="V243" s="258">
        <v>28</v>
      </c>
      <c r="W243" s="258">
        <v>28</v>
      </c>
      <c r="X243" s="258">
        <v>30</v>
      </c>
      <c r="Y243" s="258">
        <v>29</v>
      </c>
      <c r="Z243" s="258">
        <v>28</v>
      </c>
      <c r="AA243" s="258">
        <v>28</v>
      </c>
      <c r="AB243" s="258">
        <v>31</v>
      </c>
      <c r="AC243" s="258">
        <v>30</v>
      </c>
      <c r="AD243" s="258">
        <v>31</v>
      </c>
      <c r="AE243" s="258">
        <v>33</v>
      </c>
      <c r="AF243" s="258">
        <v>32</v>
      </c>
      <c r="AG243" s="258">
        <v>34</v>
      </c>
    </row>
    <row r="244" spans="1:35" ht="12">
      <c r="A244" s="322"/>
      <c r="B244" s="328"/>
      <c r="C244" s="328"/>
      <c r="D244" s="475" t="s">
        <v>358</v>
      </c>
      <c r="E244" s="333">
        <f>E37</f>
        <v>3482.86</v>
      </c>
      <c r="F244" s="330"/>
      <c r="G244" s="329"/>
      <c r="H244" s="331"/>
      <c r="I244" s="332"/>
      <c r="J244" s="333"/>
      <c r="K244" s="329"/>
      <c r="L244" s="333"/>
      <c r="M244" s="329"/>
      <c r="N244" s="333"/>
      <c r="O244" s="333"/>
      <c r="P244" s="329"/>
      <c r="Q244" s="329"/>
      <c r="R244" s="332"/>
      <c r="S244" s="332"/>
      <c r="T244" s="329"/>
      <c r="U244" s="329"/>
      <c r="V244" s="329"/>
      <c r="W244" s="330"/>
      <c r="X244" s="329"/>
      <c r="Y244" s="329"/>
      <c r="Z244" s="329"/>
      <c r="AA244" s="329"/>
      <c r="AB244" s="329"/>
      <c r="AC244" s="329"/>
      <c r="AD244" s="333"/>
      <c r="AE244" s="329"/>
      <c r="AF244" s="329"/>
      <c r="AG244" s="329"/>
      <c r="AH244" s="337">
        <f>-AH22-AH19-AH26-AH28-AH11-AH29</f>
        <v>0</v>
      </c>
      <c r="AI244" s="289">
        <f>SUM(E244:AH244)</f>
        <v>3482.86</v>
      </c>
    </row>
    <row r="245" spans="3:36" ht="12" customHeight="1">
      <c r="C245" s="96"/>
      <c r="D245" s="83"/>
      <c r="E245"/>
      <c r="F245" s="82"/>
      <c r="G245"/>
      <c r="H245" s="82"/>
      <c r="I245" s="91"/>
      <c r="J245" s="91"/>
      <c r="AH245" s="145"/>
      <c r="AI245" s="339">
        <f>Income!AM91</f>
        <v>193771.08999999994</v>
      </c>
      <c r="AJ245" s="14" t="s">
        <v>32</v>
      </c>
    </row>
    <row r="246" spans="3:36" ht="15.75" thickBot="1">
      <c r="C246"/>
      <c r="D246" s="83"/>
      <c r="E246"/>
      <c r="F246" s="82"/>
      <c r="G246"/>
      <c r="H246" s="82"/>
      <c r="I246" s="91"/>
      <c r="J246" s="91"/>
      <c r="AA246" s="61"/>
      <c r="AI246" s="340">
        <f>AI245-AI242</f>
        <v>43666.11999999994</v>
      </c>
      <c r="AJ246" s="14" t="s">
        <v>150</v>
      </c>
    </row>
    <row r="247" spans="4:35" s="341" customFormat="1" ht="12.75" thickTop="1">
      <c r="D247" s="342"/>
      <c r="K247" s="343"/>
      <c r="L247" s="343"/>
      <c r="M247" s="343"/>
      <c r="N247" s="343"/>
      <c r="O247" s="343"/>
      <c r="P247" s="343"/>
      <c r="Q247" s="343"/>
      <c r="R247" s="344"/>
      <c r="S247" s="344"/>
      <c r="T247" s="343"/>
      <c r="U247" s="343"/>
      <c r="V247" s="343"/>
      <c r="W247" s="343"/>
      <c r="X247" s="343"/>
      <c r="Y247" s="343"/>
      <c r="Z247" s="343"/>
      <c r="AA247" s="343"/>
      <c r="AB247" s="343"/>
      <c r="AC247" s="343"/>
      <c r="AD247" s="343"/>
      <c r="AE247" s="343"/>
      <c r="AF247" s="343"/>
      <c r="AG247" s="343"/>
      <c r="AH247" s="145"/>
      <c r="AI247" s="582">
        <f>SUM(E247:AH247)</f>
        <v>0</v>
      </c>
    </row>
  </sheetData>
  <sheetProtection/>
  <mergeCells count="3">
    <mergeCell ref="T3:W3"/>
    <mergeCell ref="T2:Z2"/>
    <mergeCell ref="AD2:AG2"/>
  </mergeCells>
  <printOptions/>
  <pageMargins left="0.25" right="0.25" top="0.75" bottom="0.75" header="0.3" footer="0.3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1:U25"/>
    </sheetView>
  </sheetViews>
  <sheetFormatPr defaultColWidth="8.88671875" defaultRowHeight="15"/>
  <cols>
    <col min="1" max="1" width="29.99609375" style="97" customWidth="1"/>
    <col min="2" max="2" width="8.5546875" style="97" customWidth="1"/>
    <col min="3" max="3" width="9.88671875" style="350" customWidth="1"/>
    <col min="4" max="4" width="9.21484375" style="350" customWidth="1"/>
    <col min="5" max="6" width="8.88671875" style="350" customWidth="1"/>
    <col min="7" max="7" width="7.10546875" style="350" customWidth="1"/>
    <col min="8" max="8" width="7.3359375" style="350" customWidth="1"/>
    <col min="9" max="9" width="8.4453125" style="350" customWidth="1"/>
    <col min="10" max="11" width="8.88671875" style="350" customWidth="1"/>
    <col min="12" max="12" width="7.10546875" style="350" customWidth="1"/>
    <col min="13" max="13" width="7.21484375" style="350" customWidth="1"/>
    <col min="14" max="14" width="7.5546875" style="350" customWidth="1"/>
    <col min="15" max="15" width="8.77734375" style="97" customWidth="1"/>
    <col min="16" max="18" width="8.88671875" style="97" customWidth="1"/>
    <col min="19" max="19" width="8.88671875" style="211" customWidth="1"/>
    <col min="20" max="20" width="8.88671875" style="97" customWidth="1"/>
    <col min="21" max="21" width="10.21484375" style="97" customWidth="1"/>
    <col min="22" max="16384" width="8.88671875" style="97" customWidth="1"/>
  </cols>
  <sheetData>
    <row r="1" spans="1:2" ht="15.75">
      <c r="A1" s="96" t="s">
        <v>524</v>
      </c>
      <c r="B1" s="96"/>
    </row>
    <row r="2" spans="1:2" ht="15.75">
      <c r="A2" s="96"/>
      <c r="B2" s="96"/>
    </row>
    <row r="3" spans="2:17" ht="15.75">
      <c r="B3" s="607" t="s">
        <v>32</v>
      </c>
      <c r="C3" s="608"/>
      <c r="D3" s="608"/>
      <c r="E3" s="609"/>
      <c r="F3" s="610" t="s">
        <v>52</v>
      </c>
      <c r="G3" s="611"/>
      <c r="H3" s="611"/>
      <c r="I3" s="611"/>
      <c r="J3" s="611"/>
      <c r="K3" s="611"/>
      <c r="L3" s="611"/>
      <c r="M3" s="611"/>
      <c r="N3" s="611"/>
      <c r="O3" s="612"/>
      <c r="P3" s="613" t="s">
        <v>208</v>
      </c>
      <c r="Q3" s="407"/>
    </row>
    <row r="4" spans="1:20" ht="31.5" customHeight="1">
      <c r="A4" s="351"/>
      <c r="B4" s="541" t="s">
        <v>526</v>
      </c>
      <c r="C4" s="542" t="s">
        <v>45</v>
      </c>
      <c r="D4" s="567" t="s">
        <v>525</v>
      </c>
      <c r="E4" s="352" t="s">
        <v>211</v>
      </c>
      <c r="F4" s="561" t="s">
        <v>200</v>
      </c>
      <c r="G4" s="542" t="s">
        <v>203</v>
      </c>
      <c r="H4" s="542" t="s">
        <v>219</v>
      </c>
      <c r="I4" s="542" t="s">
        <v>218</v>
      </c>
      <c r="J4" s="542" t="s">
        <v>156</v>
      </c>
      <c r="K4" s="542" t="s">
        <v>201</v>
      </c>
      <c r="L4" s="542" t="s">
        <v>523</v>
      </c>
      <c r="M4" s="542" t="s">
        <v>210</v>
      </c>
      <c r="N4" s="562" t="s">
        <v>157</v>
      </c>
      <c r="O4" s="352" t="s">
        <v>211</v>
      </c>
      <c r="P4" s="614"/>
      <c r="Q4" s="407" t="s">
        <v>208</v>
      </c>
      <c r="R4" s="615" t="s">
        <v>194</v>
      </c>
      <c r="S4" s="616"/>
      <c r="T4" s="599"/>
    </row>
    <row r="5" spans="1:21" ht="15.75">
      <c r="A5" s="353" t="s">
        <v>7</v>
      </c>
      <c r="B5" s="543" t="s">
        <v>51</v>
      </c>
      <c r="C5" s="544" t="s">
        <v>51</v>
      </c>
      <c r="D5" s="545" t="s">
        <v>51</v>
      </c>
      <c r="E5" s="354" t="s">
        <v>51</v>
      </c>
      <c r="F5" s="543" t="s">
        <v>51</v>
      </c>
      <c r="G5" s="544" t="s">
        <v>51</v>
      </c>
      <c r="H5" s="544"/>
      <c r="I5" s="544"/>
      <c r="J5" s="544" t="s">
        <v>51</v>
      </c>
      <c r="K5" s="544" t="s">
        <v>51</v>
      </c>
      <c r="L5" s="544" t="s">
        <v>51</v>
      </c>
      <c r="M5" s="544" t="s">
        <v>51</v>
      </c>
      <c r="N5" s="545" t="s">
        <v>51</v>
      </c>
      <c r="O5" s="354" t="s">
        <v>51</v>
      </c>
      <c r="P5" s="354" t="s">
        <v>51</v>
      </c>
      <c r="Q5" s="410" t="s">
        <v>51</v>
      </c>
      <c r="R5" s="478" t="s">
        <v>361</v>
      </c>
      <c r="S5" s="409" t="s">
        <v>362</v>
      </c>
      <c r="T5" s="478" t="s">
        <v>363</v>
      </c>
      <c r="U5" s="96" t="s">
        <v>102</v>
      </c>
    </row>
    <row r="6" spans="1:21" ht="15.75">
      <c r="A6" s="355" t="s">
        <v>323</v>
      </c>
      <c r="B6" s="546"/>
      <c r="C6" s="547">
        <f>Income!V7+Income!V12+Income!V13+324+Income!V15+Income!V16+Income!V19</f>
        <v>6168.1</v>
      </c>
      <c r="D6" s="548">
        <f>1538</f>
        <v>1538</v>
      </c>
      <c r="E6" s="356">
        <f aca="true" t="shared" si="0" ref="E6:E15">SUM(B6:D6)</f>
        <v>7706.1</v>
      </c>
      <c r="F6" s="563">
        <f>Expenditure!T22-240-155+34+8+Expenditure!T38+Expenditure!T20</f>
        <v>3740.16</v>
      </c>
      <c r="G6" s="547">
        <f>Expenditure!T41+Expenditure!T60+Expenditure!T61</f>
        <v>1482.98</v>
      </c>
      <c r="H6" s="547"/>
      <c r="I6" s="547"/>
      <c r="J6" s="547">
        <f>155</f>
        <v>155</v>
      </c>
      <c r="K6" s="547">
        <f>240</f>
        <v>240</v>
      </c>
      <c r="L6" s="547"/>
      <c r="M6" s="547">
        <f>Expenditure!T43</f>
        <v>270.91</v>
      </c>
      <c r="N6" s="548"/>
      <c r="O6" s="357">
        <f aca="true" t="shared" si="1" ref="O6:O12">SUM(F6:N6)</f>
        <v>5889.049999999999</v>
      </c>
      <c r="P6" s="358">
        <f aca="true" t="shared" si="2" ref="P6:P12">E6-O6</f>
        <v>1817.050000000001</v>
      </c>
      <c r="Q6" s="411"/>
      <c r="R6" s="483">
        <f>Income!V91</f>
        <v>7664.1</v>
      </c>
      <c r="S6" s="484">
        <f>Expenditure!T242</f>
        <v>6659.049999999999</v>
      </c>
      <c r="T6" s="483">
        <f>R6-S6</f>
        <v>1005.0500000000011</v>
      </c>
      <c r="U6" s="483">
        <f>T6-P6</f>
        <v>-812</v>
      </c>
    </row>
    <row r="7" spans="1:21" ht="15.75">
      <c r="A7" s="355" t="s">
        <v>333</v>
      </c>
      <c r="B7" s="546"/>
      <c r="C7" s="547">
        <f>Income!W16+Income!W18+Income!W19+Income!W20+144+60+100+Income!W22+Income!W23</f>
        <v>7035.4</v>
      </c>
      <c r="D7" s="548">
        <f>893.6</f>
        <v>893.6</v>
      </c>
      <c r="E7" s="359">
        <f t="shared" si="0"/>
        <v>7929</v>
      </c>
      <c r="F7" s="563">
        <f>Expenditure!U46+Expenditure!U59-98+Expenditure!U84</f>
        <v>5382.49</v>
      </c>
      <c r="G7" s="547">
        <f>Expenditure!U92</f>
        <v>1850.5</v>
      </c>
      <c r="H7" s="547"/>
      <c r="I7" s="547"/>
      <c r="J7" s="547">
        <f>Expenditure!U55</f>
        <v>800</v>
      </c>
      <c r="K7" s="547">
        <f>Expenditure!U45+98</f>
        <v>548</v>
      </c>
      <c r="L7" s="547"/>
      <c r="M7" s="547">
        <f>Expenditure!U44</f>
        <v>273.02</v>
      </c>
      <c r="N7" s="548"/>
      <c r="O7" s="360">
        <f t="shared" si="1"/>
        <v>8854.01</v>
      </c>
      <c r="P7" s="361">
        <f t="shared" si="2"/>
        <v>-925.0100000000002</v>
      </c>
      <c r="Q7" s="411"/>
      <c r="R7" s="483">
        <f>Income!W91</f>
        <v>10929</v>
      </c>
      <c r="S7" s="484">
        <f>Expenditure!U242</f>
        <v>8854.01</v>
      </c>
      <c r="T7" s="483">
        <f>R7-S7</f>
        <v>2074.99</v>
      </c>
      <c r="U7" s="483">
        <f>T7-P7</f>
        <v>3000</v>
      </c>
    </row>
    <row r="8" spans="1:21" ht="15.75">
      <c r="A8" s="355" t="s">
        <v>395</v>
      </c>
      <c r="B8" s="549">
        <f>Income!W80</f>
        <v>3000</v>
      </c>
      <c r="C8" s="547">
        <f>Income!AA47+Income!AA48+272+40+296+Income!AA66</f>
        <v>5116.8</v>
      </c>
      <c r="D8" s="548">
        <f>624</f>
        <v>624</v>
      </c>
      <c r="E8" s="359">
        <f t="shared" si="0"/>
        <v>8740.8</v>
      </c>
      <c r="F8" s="563">
        <f>Expenditure!V152+Expenditure!V153-520+Expenditure!V156+94+Expenditure!V175+Expenditure!V187+Expenditure!T226</f>
        <v>4808.74</v>
      </c>
      <c r="G8" s="547">
        <f>Expenditure!V155-318</f>
        <v>4980</v>
      </c>
      <c r="H8" s="547"/>
      <c r="I8" s="547"/>
      <c r="J8" s="564">
        <f>200+Expenditure!V168</f>
        <v>690</v>
      </c>
      <c r="K8" s="547">
        <f>520+318+Expenditure!V182</f>
        <v>1102</v>
      </c>
      <c r="L8" s="547"/>
      <c r="M8" s="547">
        <f>Expenditure!V177</f>
        <v>394.67999999999995</v>
      </c>
      <c r="N8" s="548"/>
      <c r="O8" s="360">
        <f t="shared" si="1"/>
        <v>11975.42</v>
      </c>
      <c r="P8" s="361">
        <f t="shared" si="2"/>
        <v>-3234.620000000001</v>
      </c>
      <c r="Q8" s="411"/>
      <c r="R8" s="483">
        <f>Income!AA91</f>
        <v>7100.8</v>
      </c>
      <c r="S8" s="484">
        <f>Expenditure!V242</f>
        <v>16054.2</v>
      </c>
      <c r="T8" s="483">
        <f>R8-S8</f>
        <v>-8953.400000000001</v>
      </c>
      <c r="U8" s="483">
        <f>T8-P8-P9</f>
        <v>-2188.000000000001</v>
      </c>
    </row>
    <row r="9" spans="1:21" ht="15.75">
      <c r="A9" s="355" t="s">
        <v>487</v>
      </c>
      <c r="B9" s="546"/>
      <c r="C9" s="547">
        <f>28+Income!AA62+Income!AA65+122+Income!AA69</f>
        <v>950</v>
      </c>
      <c r="D9" s="548">
        <v>410</v>
      </c>
      <c r="E9" s="359">
        <f t="shared" si="0"/>
        <v>1360</v>
      </c>
      <c r="F9" s="563">
        <f>Expenditure!V190-301</f>
        <v>1609.78</v>
      </c>
      <c r="G9" s="547">
        <f>Expenditure!V191</f>
        <v>2658</v>
      </c>
      <c r="H9" s="547"/>
      <c r="I9" s="547"/>
      <c r="J9" s="564">
        <f>Expenditure!V209</f>
        <v>190</v>
      </c>
      <c r="K9" s="547">
        <f>Expenditure!V185+301</f>
        <v>433</v>
      </c>
      <c r="L9" s="547"/>
      <c r="M9" s="547"/>
      <c r="N9" s="548"/>
      <c r="O9" s="360">
        <f t="shared" si="1"/>
        <v>4890.78</v>
      </c>
      <c r="P9" s="361">
        <f t="shared" si="2"/>
        <v>-3530.7799999999997</v>
      </c>
      <c r="Q9" s="411"/>
      <c r="R9" s="485"/>
      <c r="S9" s="484"/>
      <c r="T9" s="483"/>
      <c r="U9" s="483"/>
    </row>
    <row r="10" spans="1:21" ht="15.75">
      <c r="A10" s="355" t="s">
        <v>328</v>
      </c>
      <c r="B10" s="546"/>
      <c r="C10" s="547">
        <f>Income!AF91</f>
        <v>19014.7</v>
      </c>
      <c r="D10" s="548"/>
      <c r="E10" s="359">
        <f t="shared" si="0"/>
        <v>19014.7</v>
      </c>
      <c r="F10" s="563"/>
      <c r="G10" s="547">
        <f>Expenditure!AB112+Expenditure!AB114</f>
        <v>5316</v>
      </c>
      <c r="H10" s="547"/>
      <c r="I10" s="547"/>
      <c r="J10" s="564">
        <f>Expenditure!AB125</f>
        <v>190</v>
      </c>
      <c r="K10" s="547">
        <f>Expenditure!AB134+Expenditure!AB120+Expenditure!AB109</f>
        <v>687</v>
      </c>
      <c r="L10" s="547"/>
      <c r="M10" s="547"/>
      <c r="N10" s="548"/>
      <c r="O10" s="360">
        <f>SUM(F10:N10)</f>
        <v>6193</v>
      </c>
      <c r="P10" s="361">
        <f>E10-O10</f>
        <v>12821.7</v>
      </c>
      <c r="Q10" s="411"/>
      <c r="R10" s="483">
        <f>Income!AF91</f>
        <v>19014.7</v>
      </c>
      <c r="S10" s="484">
        <f>Expenditure!AB242</f>
        <v>6193</v>
      </c>
      <c r="T10" s="484">
        <f>R10-S10</f>
        <v>12821.7</v>
      </c>
      <c r="U10" s="483">
        <f>T10-P10</f>
        <v>0</v>
      </c>
    </row>
    <row r="11" spans="1:21" ht="15.75">
      <c r="A11" s="355" t="s">
        <v>345</v>
      </c>
      <c r="B11" s="546"/>
      <c r="C11" s="547"/>
      <c r="D11" s="548"/>
      <c r="E11" s="359">
        <f t="shared" si="0"/>
        <v>0</v>
      </c>
      <c r="F11" s="563">
        <f>Expenditure!W58-'New format Notes'!K11</f>
        <v>1469.42</v>
      </c>
      <c r="G11" s="547">
        <f>Expenditure!W51+Expenditure!W52+Expenditure!W57</f>
        <v>1379</v>
      </c>
      <c r="H11" s="547"/>
      <c r="I11" s="547"/>
      <c r="J11" s="547">
        <f>Expenditure!W50</f>
        <v>153</v>
      </c>
      <c r="K11" s="547">
        <v>270</v>
      </c>
      <c r="L11" s="547"/>
      <c r="M11" s="547"/>
      <c r="N11" s="548"/>
      <c r="O11" s="360">
        <f t="shared" si="1"/>
        <v>3271.42</v>
      </c>
      <c r="P11" s="361">
        <f t="shared" si="2"/>
        <v>-3271.42</v>
      </c>
      <c r="Q11" s="215"/>
      <c r="R11" s="485">
        <f>Income!AB91</f>
        <v>0</v>
      </c>
      <c r="S11" s="484">
        <f>Expenditure!W242</f>
        <v>3271.42</v>
      </c>
      <c r="T11" s="484">
        <f>R11-S11</f>
        <v>-3271.42</v>
      </c>
      <c r="U11" s="483">
        <f>T11-P11</f>
        <v>0</v>
      </c>
    </row>
    <row r="12" spans="1:22" ht="15.75">
      <c r="A12" s="355" t="s">
        <v>380</v>
      </c>
      <c r="B12" s="546"/>
      <c r="C12" s="547"/>
      <c r="D12" s="548">
        <f>Income!Z18+Income!Z82</f>
        <v>20</v>
      </c>
      <c r="E12" s="359">
        <f t="shared" si="0"/>
        <v>20</v>
      </c>
      <c r="F12" s="563"/>
      <c r="G12" s="547"/>
      <c r="H12" s="547"/>
      <c r="I12" s="547"/>
      <c r="J12" s="547"/>
      <c r="K12" s="547">
        <f>Expenditure!AA210</f>
        <v>264</v>
      </c>
      <c r="L12" s="547"/>
      <c r="M12" s="547"/>
      <c r="N12" s="548"/>
      <c r="O12" s="360">
        <f t="shared" si="1"/>
        <v>264</v>
      </c>
      <c r="P12" s="492">
        <f t="shared" si="2"/>
        <v>-244</v>
      </c>
      <c r="Q12" s="411"/>
      <c r="R12" s="483">
        <f>Income!Z91</f>
        <v>20</v>
      </c>
      <c r="S12" s="484">
        <f>Expenditure!AA242</f>
        <v>264</v>
      </c>
      <c r="T12" s="484">
        <f>R12-S12</f>
        <v>-244</v>
      </c>
      <c r="U12" s="483">
        <f>T12-P12</f>
        <v>0</v>
      </c>
      <c r="V12" s="97" t="s">
        <v>513</v>
      </c>
    </row>
    <row r="13" spans="1:21" ht="15.75">
      <c r="A13" s="355"/>
      <c r="B13" s="546"/>
      <c r="C13" s="547"/>
      <c r="D13" s="548"/>
      <c r="E13" s="359"/>
      <c r="F13" s="563"/>
      <c r="G13" s="547"/>
      <c r="H13" s="547"/>
      <c r="I13" s="547"/>
      <c r="J13" s="547"/>
      <c r="K13" s="547"/>
      <c r="L13" s="547"/>
      <c r="M13" s="547"/>
      <c r="N13" s="548"/>
      <c r="O13" s="355"/>
      <c r="P13" s="358"/>
      <c r="Q13" s="411">
        <f>SUM(P6:P12)</f>
        <v>3432.920000000001</v>
      </c>
      <c r="R13" s="489">
        <f>SUM(R6:R12)</f>
        <v>44728.6</v>
      </c>
      <c r="S13" s="490">
        <f>SUM(S6:S12)</f>
        <v>41295.68</v>
      </c>
      <c r="T13" s="490">
        <f>SUM(T6:T12)</f>
        <v>3432.92</v>
      </c>
      <c r="U13" s="490">
        <f>SUM(U6:U12)</f>
        <v>-9.094947017729282E-13</v>
      </c>
    </row>
    <row r="14" spans="1:21" ht="15.75">
      <c r="A14" s="362" t="s">
        <v>65</v>
      </c>
      <c r="B14" s="550"/>
      <c r="C14" s="547"/>
      <c r="D14" s="548"/>
      <c r="E14" s="359">
        <f t="shared" si="0"/>
        <v>0</v>
      </c>
      <c r="F14" s="563"/>
      <c r="G14" s="547"/>
      <c r="H14" s="547"/>
      <c r="I14" s="547"/>
      <c r="J14" s="547"/>
      <c r="K14" s="547"/>
      <c r="L14" s="547"/>
      <c r="M14" s="547"/>
      <c r="N14" s="548"/>
      <c r="O14" s="355"/>
      <c r="P14" s="361"/>
      <c r="Q14" s="411"/>
      <c r="R14" s="493" t="s">
        <v>194</v>
      </c>
      <c r="S14" s="494" t="s">
        <v>102</v>
      </c>
      <c r="T14" s="486"/>
      <c r="U14" s="486"/>
    </row>
    <row r="15" spans="1:21" ht="15.75">
      <c r="A15" s="355" t="s">
        <v>481</v>
      </c>
      <c r="B15" s="546"/>
      <c r="C15" s="547">
        <f>19344.55+42</f>
        <v>19386.55</v>
      </c>
      <c r="D15" s="548">
        <v>606</v>
      </c>
      <c r="E15" s="359">
        <f t="shared" si="0"/>
        <v>19992.55</v>
      </c>
      <c r="F15" s="563">
        <f>Expenditure!X154</f>
        <v>967.88</v>
      </c>
      <c r="G15" s="547">
        <f>Expenditure!X167+Expenditure!X171+Expenditure!X183+Expenditure!X186+Expenditure!X189</f>
        <v>1533.45</v>
      </c>
      <c r="H15" s="547">
        <f>Expenditure!X169</f>
        <v>1680</v>
      </c>
      <c r="I15" s="547">
        <v>150</v>
      </c>
      <c r="J15" s="547">
        <f>Expenditure!X170</f>
        <v>1925</v>
      </c>
      <c r="K15" s="547"/>
      <c r="L15" s="547">
        <v>936.9</v>
      </c>
      <c r="M15" s="547">
        <f>Expenditure!X177</f>
        <v>227.65200000000002</v>
      </c>
      <c r="N15" s="548">
        <f>Expenditure!X172</f>
        <v>3928.86</v>
      </c>
      <c r="O15" s="360">
        <f>SUM(F15:N15)</f>
        <v>11349.742</v>
      </c>
      <c r="P15" s="361">
        <f>E15-O15</f>
        <v>8642.807999999999</v>
      </c>
      <c r="Q15" s="411"/>
      <c r="R15" s="483">
        <f>Income!AC91-Expenditure!X242</f>
        <v>8642.808</v>
      </c>
      <c r="S15" s="484">
        <f>R15-P15</f>
        <v>0</v>
      </c>
      <c r="T15" s="486"/>
      <c r="U15" s="486"/>
    </row>
    <row r="16" spans="1:21" ht="15.75">
      <c r="A16" s="355" t="s">
        <v>376</v>
      </c>
      <c r="B16" s="551"/>
      <c r="C16" s="547">
        <v>8483.6</v>
      </c>
      <c r="D16" s="548">
        <f>Income!AG68</f>
        <v>393.8</v>
      </c>
      <c r="E16" s="359">
        <f>SUM(B16:D16)</f>
        <v>8877.4</v>
      </c>
      <c r="F16" s="563">
        <f>Expenditure!AC95+Expenditure!AC96-K16</f>
        <v>881.1399999999999</v>
      </c>
      <c r="G16" s="547">
        <f>Expenditure!AC93+Expenditure!AC99+Expenditure!AC102+Expenditure!AC104</f>
        <v>2258</v>
      </c>
      <c r="H16" s="547"/>
      <c r="I16" s="547">
        <f>Expenditure!AC94</f>
        <v>500</v>
      </c>
      <c r="J16" s="547">
        <f>Expenditure!AC108</f>
        <v>300</v>
      </c>
      <c r="K16" s="547">
        <v>227</v>
      </c>
      <c r="L16" s="547"/>
      <c r="M16" s="547">
        <f>Expenditure!AC91</f>
        <v>170</v>
      </c>
      <c r="N16" s="548">
        <v>300</v>
      </c>
      <c r="O16" s="360">
        <f>SUM(F16:N16)</f>
        <v>4636.139999999999</v>
      </c>
      <c r="P16" s="492">
        <f>E16-O16</f>
        <v>4241.26</v>
      </c>
      <c r="Q16" s="215"/>
      <c r="R16" s="483">
        <f>Income!AG91-Expenditure!AC242</f>
        <v>4241.26</v>
      </c>
      <c r="S16" s="484">
        <f>R16-P16</f>
        <v>0</v>
      </c>
      <c r="T16" s="486"/>
      <c r="U16" s="486"/>
    </row>
    <row r="17" spans="1:21" ht="15.75">
      <c r="A17" s="355"/>
      <c r="B17" s="546"/>
      <c r="C17" s="547"/>
      <c r="D17" s="548"/>
      <c r="E17" s="359"/>
      <c r="F17" s="563"/>
      <c r="G17" s="547"/>
      <c r="H17" s="547"/>
      <c r="I17" s="547"/>
      <c r="J17" s="547"/>
      <c r="K17" s="547"/>
      <c r="L17" s="547"/>
      <c r="M17" s="547"/>
      <c r="N17" s="548"/>
      <c r="O17" s="355"/>
      <c r="P17" s="358"/>
      <c r="Q17" s="411">
        <f>SUM(P15:P16)</f>
        <v>12884.068</v>
      </c>
      <c r="R17" s="487">
        <f>SUM(R15:R16)</f>
        <v>12884.068000000001</v>
      </c>
      <c r="S17" s="487">
        <f>SUM(S15:S16)</f>
        <v>0</v>
      </c>
      <c r="T17" s="488"/>
      <c r="U17" s="486"/>
    </row>
    <row r="18" spans="1:21" ht="15.75">
      <c r="A18" s="355"/>
      <c r="B18" s="546"/>
      <c r="C18" s="547"/>
      <c r="D18" s="548"/>
      <c r="E18" s="359"/>
      <c r="F18" s="563"/>
      <c r="G18" s="547"/>
      <c r="H18" s="547"/>
      <c r="I18" s="547"/>
      <c r="J18" s="547"/>
      <c r="K18" s="547"/>
      <c r="L18" s="547"/>
      <c r="M18" s="547"/>
      <c r="N18" s="548"/>
      <c r="O18" s="355"/>
      <c r="P18" s="361"/>
      <c r="Q18" s="411"/>
      <c r="R18" s="484"/>
      <c r="S18" s="484"/>
      <c r="T18" s="486"/>
      <c r="U18" s="486"/>
    </row>
    <row r="19" spans="1:21" ht="15.75">
      <c r="A19" s="362" t="s">
        <v>199</v>
      </c>
      <c r="B19" s="550"/>
      <c r="C19" s="547"/>
      <c r="D19" s="548"/>
      <c r="E19" s="359">
        <f aca="true" t="shared" si="3" ref="E19:E24">SUM(B19:D19)</f>
        <v>0</v>
      </c>
      <c r="F19" s="563"/>
      <c r="G19" s="547"/>
      <c r="H19" s="547"/>
      <c r="I19" s="547"/>
      <c r="J19" s="547"/>
      <c r="K19" s="547"/>
      <c r="L19" s="547"/>
      <c r="M19" s="547"/>
      <c r="N19" s="548"/>
      <c r="O19" s="355"/>
      <c r="P19" s="361"/>
      <c r="Q19" s="411"/>
      <c r="R19" s="486"/>
      <c r="S19" s="484"/>
      <c r="T19" s="486"/>
      <c r="U19" s="486"/>
    </row>
    <row r="20" spans="1:21" ht="15.75">
      <c r="A20" s="355" t="s">
        <v>381</v>
      </c>
      <c r="B20" s="549">
        <f>Income!AD29</f>
        <v>2000</v>
      </c>
      <c r="C20" s="547">
        <f>5714.6+2439.4</f>
        <v>8154</v>
      </c>
      <c r="D20" s="548"/>
      <c r="E20" s="359">
        <f t="shared" si="3"/>
        <v>10154</v>
      </c>
      <c r="F20" s="563">
        <f>Expenditure!Y48+Expenditure!Y74-K20</f>
        <v>722.9200000000001</v>
      </c>
      <c r="G20" s="547"/>
      <c r="H20" s="547"/>
      <c r="I20" s="547">
        <f>Expenditure!Y105</f>
        <v>150</v>
      </c>
      <c r="J20" s="547"/>
      <c r="K20" s="547">
        <v>150</v>
      </c>
      <c r="L20" s="547">
        <v>320</v>
      </c>
      <c r="M20" s="547">
        <f>Expenditure!Y91</f>
        <v>172.12</v>
      </c>
      <c r="N20" s="548"/>
      <c r="O20" s="360">
        <f>SUM(F20:N20)</f>
        <v>1515.04</v>
      </c>
      <c r="P20" s="361">
        <f>E20-O20</f>
        <v>8638.96</v>
      </c>
      <c r="Q20" s="411"/>
      <c r="R20" s="486"/>
      <c r="S20" s="484"/>
      <c r="T20" s="486"/>
      <c r="U20" s="486"/>
    </row>
    <row r="21" spans="1:21" ht="15.75">
      <c r="A21" s="363" t="s">
        <v>530</v>
      </c>
      <c r="B21" s="546"/>
      <c r="C21" s="547">
        <f>Income!AD8</f>
        <v>6276.5</v>
      </c>
      <c r="D21" s="548"/>
      <c r="E21" s="359">
        <f t="shared" si="3"/>
        <v>6276.5</v>
      </c>
      <c r="F21" s="563">
        <f>Expenditure!Y7+Expenditure!Y18-240</f>
        <v>998.3799999999999</v>
      </c>
      <c r="G21" s="547">
        <f>Expenditure!Y8</f>
        <v>384</v>
      </c>
      <c r="H21" s="547"/>
      <c r="I21" s="547"/>
      <c r="J21" s="547">
        <f>Expenditure!Y16</f>
        <v>225.6</v>
      </c>
      <c r="K21" s="547">
        <f>240</f>
        <v>240</v>
      </c>
      <c r="M21" s="547">
        <f>Expenditure!Y9+Expenditure!Y211/2</f>
        <v>146.68</v>
      </c>
      <c r="N21" s="548"/>
      <c r="O21" s="360">
        <f>SUM(F21:N21)</f>
        <v>1994.6599999999999</v>
      </c>
      <c r="P21" s="361">
        <f>E21-O21</f>
        <v>4281.84</v>
      </c>
      <c r="Q21" s="411"/>
      <c r="R21" s="493" t="s">
        <v>194</v>
      </c>
      <c r="S21" s="494" t="s">
        <v>102</v>
      </c>
      <c r="T21" s="486"/>
      <c r="U21" s="486"/>
    </row>
    <row r="22" spans="1:21" ht="15.75">
      <c r="A22" s="363" t="s">
        <v>531</v>
      </c>
      <c r="B22" s="552"/>
      <c r="C22" s="553">
        <f>10117.3+Income!AD82</f>
        <v>10217.3</v>
      </c>
      <c r="D22" s="554"/>
      <c r="E22" s="359">
        <f t="shared" si="3"/>
        <v>10217.3</v>
      </c>
      <c r="F22" s="565">
        <f>Expenditure!Y208-K22+Expenditure!Y228</f>
        <v>798.06</v>
      </c>
      <c r="G22" s="553">
        <f>Expenditure!Y215</f>
        <v>265</v>
      </c>
      <c r="H22" s="553"/>
      <c r="I22" s="553">
        <f>Expenditure!Y233</f>
        <v>83.6</v>
      </c>
      <c r="J22" s="553">
        <f>Expenditure!Y213</f>
        <v>140</v>
      </c>
      <c r="K22" s="553">
        <v>220.84</v>
      </c>
      <c r="L22" s="547">
        <v>300</v>
      </c>
      <c r="M22" s="553"/>
      <c r="N22" s="554"/>
      <c r="O22" s="360">
        <f>SUM(F22:N22)</f>
        <v>1807.4999999999998</v>
      </c>
      <c r="P22" s="361">
        <f>E22-O22</f>
        <v>8409.8</v>
      </c>
      <c r="Q22" s="411"/>
      <c r="R22" s="493"/>
      <c r="S22" s="494"/>
      <c r="T22" s="486"/>
      <c r="U22" s="486"/>
    </row>
    <row r="23" spans="1:21" ht="15.75">
      <c r="A23" s="536" t="s">
        <v>496</v>
      </c>
      <c r="B23" s="552"/>
      <c r="C23" s="553">
        <v>924.1</v>
      </c>
      <c r="D23" s="554"/>
      <c r="E23" s="359">
        <f t="shared" si="3"/>
        <v>924.1</v>
      </c>
      <c r="F23" s="565"/>
      <c r="G23" s="553">
        <f>Expenditure!Y201</f>
        <v>50</v>
      </c>
      <c r="H23" s="553"/>
      <c r="I23" s="553"/>
      <c r="J23" s="553"/>
      <c r="K23" s="553"/>
      <c r="L23" s="553"/>
      <c r="M23" s="553">
        <f>Expenditure!Y211/2</f>
        <v>79.86</v>
      </c>
      <c r="N23" s="554"/>
      <c r="O23" s="360">
        <f>SUM(F23:N23)</f>
        <v>129.86</v>
      </c>
      <c r="P23" s="361">
        <f>E23-O23</f>
        <v>794.24</v>
      </c>
      <c r="Q23" s="411"/>
      <c r="R23" s="493"/>
      <c r="S23" s="494"/>
      <c r="T23" s="486"/>
      <c r="U23" s="486"/>
    </row>
    <row r="24" spans="1:21" ht="15.75">
      <c r="A24" s="364" t="s">
        <v>309</v>
      </c>
      <c r="B24" s="555"/>
      <c r="C24" s="556">
        <v>5690.4</v>
      </c>
      <c r="D24" s="557"/>
      <c r="E24" s="365">
        <f t="shared" si="3"/>
        <v>5690.4</v>
      </c>
      <c r="F24" s="566"/>
      <c r="G24" s="556"/>
      <c r="H24" s="556"/>
      <c r="I24" s="556"/>
      <c r="J24" s="556"/>
      <c r="K24" s="556"/>
      <c r="L24" s="556"/>
      <c r="M24" s="556"/>
      <c r="N24" s="557"/>
      <c r="O24" s="366">
        <f>SUM(F24:N24)</f>
        <v>0</v>
      </c>
      <c r="P24" s="367">
        <f>E24-O24</f>
        <v>5690.4</v>
      </c>
      <c r="Q24" s="491">
        <f>SUM(P20:P24)</f>
        <v>27815.239999999998</v>
      </c>
      <c r="R24" s="489">
        <f>Income!AD91-Expenditure!Y242</f>
        <v>27815.24</v>
      </c>
      <c r="S24" s="490">
        <f>Q24-R24</f>
        <v>0</v>
      </c>
      <c r="T24" s="486"/>
      <c r="U24" s="486"/>
    </row>
    <row r="25" spans="2:18" ht="15">
      <c r="B25" s="558">
        <f aca="true" t="shared" si="4" ref="B25:O25">SUM(B6:B24)</f>
        <v>5000</v>
      </c>
      <c r="C25" s="559">
        <f t="shared" si="4"/>
        <v>97417.45000000001</v>
      </c>
      <c r="D25" s="560">
        <f t="shared" si="4"/>
        <v>4485.4</v>
      </c>
      <c r="E25" s="349">
        <f t="shared" si="4"/>
        <v>106902.85</v>
      </c>
      <c r="F25" s="558">
        <f t="shared" si="4"/>
        <v>21378.97</v>
      </c>
      <c r="G25" s="559">
        <f t="shared" si="4"/>
        <v>22156.93</v>
      </c>
      <c r="H25" s="559">
        <f t="shared" si="4"/>
        <v>1680</v>
      </c>
      <c r="I25" s="559">
        <f t="shared" si="4"/>
        <v>883.6</v>
      </c>
      <c r="J25" s="559">
        <f t="shared" si="4"/>
        <v>4768.6</v>
      </c>
      <c r="K25" s="559">
        <f t="shared" si="4"/>
        <v>4381.84</v>
      </c>
      <c r="L25" s="559">
        <f t="shared" si="4"/>
        <v>1556.9</v>
      </c>
      <c r="M25" s="559">
        <f t="shared" si="4"/>
        <v>1734.922</v>
      </c>
      <c r="N25" s="560">
        <f t="shared" si="4"/>
        <v>4228.860000000001</v>
      </c>
      <c r="O25" s="349">
        <f t="shared" si="4"/>
        <v>62770.62199999999</v>
      </c>
      <c r="P25" s="348">
        <f>SUM(P6:P24)</f>
        <v>44132.227999999996</v>
      </c>
      <c r="Q25" s="412">
        <f>SUM(Q12:Q24)</f>
        <v>44132.228</v>
      </c>
      <c r="R25" s="489"/>
    </row>
    <row r="27" spans="1:19" s="96" customFormat="1" ht="15.75">
      <c r="A27" s="292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409"/>
      <c r="Q27" s="408"/>
      <c r="S27" s="409"/>
    </row>
  </sheetData>
  <sheetProtection/>
  <mergeCells count="4">
    <mergeCell ref="B3:E3"/>
    <mergeCell ref="F3:O3"/>
    <mergeCell ref="P3:P4"/>
    <mergeCell ref="R4:T4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30.6640625" style="0" customWidth="1"/>
    <col min="2" max="2" width="8.88671875" style="91" customWidth="1"/>
    <col min="3" max="3" width="9.5546875" style="91" customWidth="1"/>
    <col min="4" max="4" width="8.88671875" style="162" customWidth="1"/>
    <col min="5" max="5" width="3.10546875" style="0" customWidth="1"/>
  </cols>
  <sheetData>
    <row r="1" spans="1:4" ht="15.75">
      <c r="A1" s="2" t="s">
        <v>580</v>
      </c>
      <c r="B1" s="229"/>
      <c r="C1" s="229"/>
      <c r="D1" s="230"/>
    </row>
    <row r="2" spans="1:4" ht="15">
      <c r="A2" s="307"/>
      <c r="B2" s="231"/>
      <c r="C2" s="231"/>
      <c r="D2" s="232"/>
    </row>
    <row r="3" spans="1:4" ht="15.75">
      <c r="A3" s="96"/>
      <c r="B3" s="98"/>
      <c r="C3" s="98"/>
      <c r="D3" s="233"/>
    </row>
    <row r="4" spans="1:6" ht="15.75">
      <c r="A4" s="214"/>
      <c r="B4" s="607" t="s">
        <v>527</v>
      </c>
      <c r="C4" s="608"/>
      <c r="D4" s="609"/>
      <c r="F4" s="468" t="s">
        <v>560</v>
      </c>
    </row>
    <row r="5" spans="1:6" ht="15">
      <c r="A5" s="205"/>
      <c r="B5" s="234" t="s">
        <v>32</v>
      </c>
      <c r="C5" s="235" t="s">
        <v>52</v>
      </c>
      <c r="D5" s="236" t="s">
        <v>179</v>
      </c>
      <c r="F5" s="432" t="s">
        <v>179</v>
      </c>
    </row>
    <row r="6" spans="1:6" ht="15">
      <c r="A6" s="205"/>
      <c r="B6" s="234"/>
      <c r="C6" s="235"/>
      <c r="D6" s="236" t="s">
        <v>180</v>
      </c>
      <c r="F6" s="432" t="s">
        <v>180</v>
      </c>
    </row>
    <row r="7" spans="1:6" ht="15">
      <c r="A7" s="205"/>
      <c r="B7" s="234" t="s">
        <v>51</v>
      </c>
      <c r="C7" s="235" t="s">
        <v>51</v>
      </c>
      <c r="D7" s="237" t="s">
        <v>51</v>
      </c>
      <c r="F7" s="469" t="s">
        <v>51</v>
      </c>
    </row>
    <row r="8" spans="1:6" ht="15.75">
      <c r="A8" s="218" t="s">
        <v>181</v>
      </c>
      <c r="B8" s="234"/>
      <c r="C8" s="235"/>
      <c r="D8" s="237"/>
      <c r="F8" s="469"/>
    </row>
    <row r="9" spans="1:6" ht="15">
      <c r="A9" s="215" t="s">
        <v>296</v>
      </c>
      <c r="B9" s="238">
        <f>'New format Notes'!E6</f>
        <v>7706.1</v>
      </c>
      <c r="C9" s="239">
        <f>'New format Notes'!O6</f>
        <v>5889.049999999999</v>
      </c>
      <c r="D9" s="240">
        <f>SUM(B9-C9)</f>
        <v>1817.050000000001</v>
      </c>
      <c r="F9" s="418">
        <v>1683</v>
      </c>
    </row>
    <row r="10" spans="1:6" ht="15">
      <c r="A10" s="215" t="s">
        <v>297</v>
      </c>
      <c r="B10" s="238">
        <f>'New format Notes'!E7</f>
        <v>7929</v>
      </c>
      <c r="C10" s="239">
        <f>'New format Notes'!O7</f>
        <v>8854.01</v>
      </c>
      <c r="D10" s="240">
        <f>SUM(B10-C10)</f>
        <v>-925.0100000000002</v>
      </c>
      <c r="F10" s="418">
        <v>3360</v>
      </c>
    </row>
    <row r="11" spans="1:6" ht="15">
      <c r="A11" s="241" t="s">
        <v>81</v>
      </c>
      <c r="B11" s="238">
        <f>'New format Notes'!E8+'New format Notes'!E9</f>
        <v>10100.8</v>
      </c>
      <c r="C11" s="239">
        <f>'New format Notes'!O8+'New format Notes'!O9</f>
        <v>16866.2</v>
      </c>
      <c r="D11" s="240">
        <f>SUM(B11-C11)</f>
        <v>-6765.4000000000015</v>
      </c>
      <c r="F11" s="418">
        <v>-4527</v>
      </c>
    </row>
    <row r="12" spans="1:6" ht="15">
      <c r="A12" s="338" t="s">
        <v>298</v>
      </c>
      <c r="B12" s="238">
        <f>'New format Notes'!E11</f>
        <v>0</v>
      </c>
      <c r="C12" s="239">
        <f>'New format Notes'!O11</f>
        <v>3271.42</v>
      </c>
      <c r="D12" s="240">
        <f>SUM(B12-C12)</f>
        <v>-3271.42</v>
      </c>
      <c r="F12" s="421">
        <v>-3219</v>
      </c>
    </row>
    <row r="13" spans="1:6" ht="15">
      <c r="A13" s="205"/>
      <c r="B13" s="242">
        <f>SUM(B9:B12)</f>
        <v>25735.9</v>
      </c>
      <c r="C13" s="243">
        <f>SUM(C9:C12)</f>
        <v>34880.68</v>
      </c>
      <c r="D13" s="244">
        <f>B13-C13</f>
        <v>-9144.779999999999</v>
      </c>
      <c r="F13" s="470">
        <f>SUM(F9:F12)</f>
        <v>-2703</v>
      </c>
    </row>
    <row r="14" spans="1:6" ht="15">
      <c r="A14" s="205"/>
      <c r="B14" s="238"/>
      <c r="C14" s="239"/>
      <c r="D14" s="240"/>
      <c r="F14" s="205"/>
    </row>
    <row r="15" spans="1:6" ht="15.75">
      <c r="A15" s="218" t="s">
        <v>182</v>
      </c>
      <c r="B15" s="245"/>
      <c r="C15" s="120"/>
      <c r="D15" s="246"/>
      <c r="F15" s="205"/>
    </row>
    <row r="16" spans="1:6" ht="15">
      <c r="A16" s="338" t="s">
        <v>295</v>
      </c>
      <c r="B16" s="238">
        <f>'New format Notes'!E20+'New format Notes'!E24</f>
        <v>15844.4</v>
      </c>
      <c r="C16" s="239">
        <f>'New format Notes'!O20+'New format Notes'!O24</f>
        <v>1515.04</v>
      </c>
      <c r="D16" s="240">
        <f>SUM(B16-C16)</f>
        <v>14329.36</v>
      </c>
      <c r="F16" s="418">
        <v>7874</v>
      </c>
    </row>
    <row r="17" spans="1:6" ht="15">
      <c r="A17" s="241" t="s">
        <v>53</v>
      </c>
      <c r="B17" s="238">
        <f>'New format Notes'!E21+'New format Notes'!E22</f>
        <v>16493.8</v>
      </c>
      <c r="C17" s="239">
        <f>'New format Notes'!O21+'New format Notes'!O22</f>
        <v>3802.16</v>
      </c>
      <c r="D17" s="240">
        <f>SUM(B17-C17)</f>
        <v>12691.64</v>
      </c>
      <c r="F17" s="418">
        <v>40</v>
      </c>
    </row>
    <row r="18" spans="1:6" ht="15">
      <c r="A18" s="241" t="s">
        <v>581</v>
      </c>
      <c r="B18" s="239">
        <f>'New format Notes'!E23</f>
        <v>924.1</v>
      </c>
      <c r="C18" s="239">
        <f>'New format Notes'!O23</f>
        <v>129.86</v>
      </c>
      <c r="D18" s="240">
        <f>SUM(B18-C18)</f>
        <v>794.24</v>
      </c>
      <c r="F18" s="586">
        <v>0</v>
      </c>
    </row>
    <row r="19" spans="1:6" ht="15">
      <c r="A19" s="205"/>
      <c r="B19" s="247">
        <f>SUM(B16:B18)</f>
        <v>33262.299999999996</v>
      </c>
      <c r="C19" s="248">
        <f>SUM(C16:C18)</f>
        <v>5447.0599999999995</v>
      </c>
      <c r="D19" s="244">
        <f>SUM(D16:D18)</f>
        <v>27815.24</v>
      </c>
      <c r="F19" s="470">
        <f>SUM(F16:F18)</f>
        <v>7914</v>
      </c>
    </row>
    <row r="20" spans="1:6" ht="15">
      <c r="A20" s="205"/>
      <c r="B20" s="238"/>
      <c r="C20" s="239"/>
      <c r="D20" s="240"/>
      <c r="F20" s="205"/>
    </row>
    <row r="21" spans="1:6" ht="15.75">
      <c r="A21" s="218" t="s">
        <v>183</v>
      </c>
      <c r="B21" s="245"/>
      <c r="C21" s="120"/>
      <c r="D21" s="246"/>
      <c r="F21" s="205"/>
    </row>
    <row r="22" spans="1:6" ht="15">
      <c r="A22" s="215" t="s">
        <v>198</v>
      </c>
      <c r="B22" s="266">
        <f>'New format Notes'!E16</f>
        <v>8877.4</v>
      </c>
      <c r="C22" s="122">
        <f>'New format Notes'!O16</f>
        <v>4636.139999999999</v>
      </c>
      <c r="D22" s="301">
        <f>B22-C22</f>
        <v>4241.26</v>
      </c>
      <c r="F22" s="182">
        <v>6948</v>
      </c>
    </row>
    <row r="23" spans="1:6" ht="15">
      <c r="A23" s="215" t="s">
        <v>184</v>
      </c>
      <c r="B23" s="298">
        <f>'New format Notes'!E15</f>
        <v>19992.55</v>
      </c>
      <c r="C23" s="291">
        <f>'New format Notes'!O15</f>
        <v>11349.742</v>
      </c>
      <c r="D23" s="299">
        <f>SUM(B23-C23)</f>
        <v>8642.807999999999</v>
      </c>
      <c r="F23" s="182">
        <v>2341</v>
      </c>
    </row>
    <row r="24" spans="1:6" ht="15">
      <c r="A24" s="249"/>
      <c r="B24" s="250">
        <f>SUM(B22:B23)</f>
        <v>28869.949999999997</v>
      </c>
      <c r="C24" s="574">
        <f>SUM(C22:C23)</f>
        <v>15985.882</v>
      </c>
      <c r="D24" s="573">
        <f>SUM(D22:D23)</f>
        <v>12884.068</v>
      </c>
      <c r="F24" s="300">
        <f>SUM(F22:F23)</f>
        <v>9289</v>
      </c>
    </row>
  </sheetData>
  <sheetProtection/>
  <mergeCells count="1">
    <mergeCell ref="B4:D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A22" sqref="A22"/>
    </sheetView>
  </sheetViews>
  <sheetFormatPr defaultColWidth="8.88671875" defaultRowHeight="15"/>
  <cols>
    <col min="1" max="1" width="38.10546875" style="0" customWidth="1"/>
    <col min="2" max="2" width="11.3359375" style="64" customWidth="1"/>
    <col min="3" max="3" width="16.4453125" style="64" customWidth="1"/>
    <col min="4" max="4" width="11.77734375" style="439" customWidth="1"/>
    <col min="5" max="5" width="12.10546875" style="0" customWidth="1"/>
    <col min="6" max="6" width="4.77734375" style="0" customWidth="1"/>
    <col min="7" max="7" width="8.6640625" style="0" customWidth="1"/>
    <col min="8" max="8" width="7.10546875" style="0" customWidth="1"/>
    <col min="9" max="9" width="7.4453125" style="0" customWidth="1"/>
    <col min="11" max="11" width="15.6640625" style="0" customWidth="1"/>
  </cols>
  <sheetData>
    <row r="1" ht="15.75">
      <c r="A1" s="2" t="s">
        <v>446</v>
      </c>
    </row>
    <row r="3" ht="15.75">
      <c r="A3" s="2" t="s">
        <v>57</v>
      </c>
    </row>
    <row r="4" spans="1:3" ht="15">
      <c r="A4" s="97" t="s">
        <v>447</v>
      </c>
      <c r="C4" s="64">
        <v>201970.19</v>
      </c>
    </row>
    <row r="5" ht="15">
      <c r="A5" s="94" t="s">
        <v>87</v>
      </c>
    </row>
    <row r="6" spans="1:3" ht="15">
      <c r="A6" s="97" t="s">
        <v>464</v>
      </c>
      <c r="C6" s="64">
        <f>Income!AO62</f>
        <v>137015.68</v>
      </c>
    </row>
    <row r="7" spans="1:4" ht="15">
      <c r="A7" s="97" t="s">
        <v>465</v>
      </c>
      <c r="B7" s="443"/>
      <c r="C7" s="443">
        <f>-Expenditure!AK151</f>
        <v>-99936.7</v>
      </c>
      <c r="D7" s="440"/>
    </row>
    <row r="8" spans="1:4" ht="15">
      <c r="A8" s="97" t="s">
        <v>455</v>
      </c>
      <c r="B8" s="443"/>
      <c r="C8" s="443">
        <f>B52</f>
        <v>62.38</v>
      </c>
      <c r="D8" s="440"/>
    </row>
    <row r="9" spans="1:4" ht="15">
      <c r="A9" s="97" t="s">
        <v>462</v>
      </c>
      <c r="B9" s="443"/>
      <c r="C9" s="443">
        <f>-B58</f>
        <v>-65.92</v>
      </c>
      <c r="D9" s="440"/>
    </row>
    <row r="10" spans="1:5" ht="15">
      <c r="A10" s="92" t="s">
        <v>466</v>
      </c>
      <c r="B10" s="84"/>
      <c r="C10" s="64">
        <f>B60</f>
        <v>493.8</v>
      </c>
      <c r="D10" s="84"/>
      <c r="E10" s="440"/>
    </row>
    <row r="11" spans="1:4" ht="15">
      <c r="A11" s="97"/>
      <c r="B11" s="84"/>
      <c r="C11" s="84"/>
      <c r="D11" s="440"/>
    </row>
    <row r="12" spans="2:4" ht="15.75" thickBot="1">
      <c r="B12" s="74"/>
      <c r="C12" s="74">
        <f>SUM(C4:C11)</f>
        <v>239539.42999999996</v>
      </c>
      <c r="D12" s="441"/>
    </row>
    <row r="13" ht="16.5" thickTop="1">
      <c r="A13" s="2" t="s">
        <v>293</v>
      </c>
    </row>
    <row r="14" ht="15">
      <c r="A14" s="97" t="s">
        <v>453</v>
      </c>
    </row>
    <row r="15" spans="1:2" ht="15">
      <c r="A15" s="97" t="s">
        <v>448</v>
      </c>
      <c r="B15" s="64">
        <v>20510.84</v>
      </c>
    </row>
    <row r="16" spans="1:4" ht="15">
      <c r="A16" s="97" t="s">
        <v>454</v>
      </c>
      <c r="B16" s="64">
        <v>224126.23</v>
      </c>
      <c r="D16" s="444" t="s">
        <v>456</v>
      </c>
    </row>
    <row r="17" spans="1:4" ht="15">
      <c r="A17" s="97" t="s">
        <v>460</v>
      </c>
      <c r="B17" s="64">
        <f>-B43</f>
        <v>-10283.039999999999</v>
      </c>
      <c r="D17" s="444"/>
    </row>
    <row r="18" spans="1:4" ht="15">
      <c r="A18" s="97" t="s">
        <v>461</v>
      </c>
      <c r="B18" s="64">
        <f>B50</f>
        <v>4686</v>
      </c>
      <c r="D18" s="444"/>
    </row>
    <row r="19" spans="1:4" ht="15">
      <c r="A19" s="97" t="s">
        <v>459</v>
      </c>
      <c r="B19" s="64">
        <f>B62</f>
        <v>49.68</v>
      </c>
      <c r="D19" s="386" t="s">
        <v>458</v>
      </c>
    </row>
    <row r="20" spans="1:2" ht="15">
      <c r="A20" s="505"/>
      <c r="B20" s="443"/>
    </row>
    <row r="21" spans="2:5" ht="15.75" thickBot="1">
      <c r="B21" s="74"/>
      <c r="C21" s="445">
        <f>SUM(B15:B20)</f>
        <v>239089.71</v>
      </c>
      <c r="E21" s="443"/>
    </row>
    <row r="22" spans="3:4" ht="15.75" thickTop="1">
      <c r="C22" s="443">
        <f>C12-C21</f>
        <v>449.71999999997206</v>
      </c>
      <c r="D22" s="444" t="s">
        <v>102</v>
      </c>
    </row>
    <row r="23" spans="1:9" ht="15.75">
      <c r="A23" s="121"/>
      <c r="E23" s="509"/>
      <c r="F23" s="293"/>
      <c r="G23" s="293"/>
      <c r="H23" s="293"/>
      <c r="I23" s="293"/>
    </row>
    <row r="24" spans="2:11" ht="33.75" customHeight="1">
      <c r="B24" s="617" t="s">
        <v>450</v>
      </c>
      <c r="C24" s="618"/>
      <c r="D24" s="618"/>
      <c r="E24" s="619"/>
      <c r="G24" s="587" t="s">
        <v>449</v>
      </c>
      <c r="H24" s="588"/>
      <c r="I24" s="588"/>
      <c r="J24" s="588"/>
      <c r="K24" s="589"/>
    </row>
    <row r="25" spans="2:11" ht="15">
      <c r="B25" s="467">
        <v>190</v>
      </c>
      <c r="C25" s="454">
        <v>3917</v>
      </c>
      <c r="D25" s="455">
        <v>42743</v>
      </c>
      <c r="E25" s="461" t="s">
        <v>252</v>
      </c>
      <c r="G25" s="510" t="s">
        <v>51</v>
      </c>
      <c r="H25" s="382"/>
      <c r="I25" s="511" t="s">
        <v>82</v>
      </c>
      <c r="J25" s="293"/>
      <c r="K25" s="181"/>
    </row>
    <row r="26" spans="2:11" ht="15">
      <c r="B26" s="467">
        <v>77</v>
      </c>
      <c r="C26" s="454" t="s">
        <v>222</v>
      </c>
      <c r="D26" s="455">
        <v>42740</v>
      </c>
      <c r="E26" s="460" t="s">
        <v>326</v>
      </c>
      <c r="G26" s="522">
        <v>210</v>
      </c>
      <c r="H26" s="512" t="s">
        <v>253</v>
      </c>
      <c r="I26" s="513">
        <v>198</v>
      </c>
      <c r="J26" s="514">
        <v>42460</v>
      </c>
      <c r="K26" s="515" t="s">
        <v>329</v>
      </c>
    </row>
    <row r="27" spans="1:11" ht="15">
      <c r="A27" s="97"/>
      <c r="B27" s="466">
        <v>1393.88</v>
      </c>
      <c r="C27" s="454" t="s">
        <v>222</v>
      </c>
      <c r="D27" s="455">
        <v>42740</v>
      </c>
      <c r="E27" s="460" t="s">
        <v>319</v>
      </c>
      <c r="G27" s="522">
        <v>75</v>
      </c>
      <c r="H27" s="512" t="s">
        <v>253</v>
      </c>
      <c r="I27" s="516">
        <v>199</v>
      </c>
      <c r="J27" s="514">
        <v>42460</v>
      </c>
      <c r="K27" s="515" t="s">
        <v>330</v>
      </c>
    </row>
    <row r="28" spans="1:11" ht="15">
      <c r="A28" s="97"/>
      <c r="B28" s="525">
        <v>68.9</v>
      </c>
      <c r="C28" s="454" t="s">
        <v>253</v>
      </c>
      <c r="D28" s="455">
        <v>42745</v>
      </c>
      <c r="E28" s="460" t="s">
        <v>249</v>
      </c>
      <c r="G28" s="522">
        <v>147.14</v>
      </c>
      <c r="H28" s="512" t="s">
        <v>253</v>
      </c>
      <c r="I28" s="513">
        <v>200</v>
      </c>
      <c r="J28" s="514">
        <v>42460</v>
      </c>
      <c r="K28" s="515" t="s">
        <v>370</v>
      </c>
    </row>
    <row r="29" spans="1:12" ht="15">
      <c r="A29" s="97"/>
      <c r="B29" s="525">
        <v>300</v>
      </c>
      <c r="C29" s="454" t="s">
        <v>253</v>
      </c>
      <c r="D29" s="455">
        <v>42745</v>
      </c>
      <c r="E29" s="460" t="s">
        <v>228</v>
      </c>
      <c r="G29" s="522">
        <v>145.72</v>
      </c>
      <c r="H29" s="512" t="s">
        <v>253</v>
      </c>
      <c r="I29" s="516">
        <v>207</v>
      </c>
      <c r="J29" s="514">
        <v>42460</v>
      </c>
      <c r="K29" s="515" t="s">
        <v>428</v>
      </c>
      <c r="L29" s="486"/>
    </row>
    <row r="30" spans="1:12" ht="15">
      <c r="A30" s="97"/>
      <c r="B30" s="525">
        <v>651</v>
      </c>
      <c r="C30" s="454" t="s">
        <v>253</v>
      </c>
      <c r="D30" s="455">
        <v>42745</v>
      </c>
      <c r="E30" s="460" t="s">
        <v>329</v>
      </c>
      <c r="G30" s="522">
        <v>23.17</v>
      </c>
      <c r="H30" s="512" t="s">
        <v>253</v>
      </c>
      <c r="I30" s="513">
        <v>208</v>
      </c>
      <c r="J30" s="514">
        <v>42460</v>
      </c>
      <c r="K30" s="515" t="s">
        <v>429</v>
      </c>
      <c r="L30" s="486"/>
    </row>
    <row r="31" spans="1:11" ht="15">
      <c r="A31" s="97"/>
      <c r="B31" s="525">
        <v>132</v>
      </c>
      <c r="C31" s="454" t="s">
        <v>253</v>
      </c>
      <c r="D31" s="455">
        <v>42745</v>
      </c>
      <c r="E31" s="460" t="s">
        <v>255</v>
      </c>
      <c r="G31" s="522">
        <v>23.36</v>
      </c>
      <c r="H31" s="512" t="s">
        <v>253</v>
      </c>
      <c r="I31" s="516">
        <v>209</v>
      </c>
      <c r="J31" s="514">
        <v>42460</v>
      </c>
      <c r="K31" s="515" t="s">
        <v>430</v>
      </c>
    </row>
    <row r="32" spans="2:11" ht="15">
      <c r="B32" s="525">
        <v>94.62</v>
      </c>
      <c r="C32" s="454" t="s">
        <v>253</v>
      </c>
      <c r="D32" s="455">
        <v>42745</v>
      </c>
      <c r="E32" s="460" t="s">
        <v>400</v>
      </c>
      <c r="G32" s="522">
        <v>33.71</v>
      </c>
      <c r="H32" s="512" t="s">
        <v>253</v>
      </c>
      <c r="I32" s="513">
        <v>210</v>
      </c>
      <c r="J32" s="514">
        <v>42460</v>
      </c>
      <c r="K32" s="515" t="s">
        <v>431</v>
      </c>
    </row>
    <row r="33" spans="2:11" ht="15">
      <c r="B33" s="525">
        <v>37.6</v>
      </c>
      <c r="C33" s="454" t="s">
        <v>253</v>
      </c>
      <c r="D33" s="455">
        <v>42745</v>
      </c>
      <c r="E33" s="460" t="s">
        <v>401</v>
      </c>
      <c r="G33" s="522">
        <v>64</v>
      </c>
      <c r="H33" s="512" t="s">
        <v>253</v>
      </c>
      <c r="I33" s="516">
        <v>211</v>
      </c>
      <c r="J33" s="514">
        <v>42460</v>
      </c>
      <c r="K33" s="515" t="s">
        <v>432</v>
      </c>
    </row>
    <row r="34" spans="2:11" ht="15">
      <c r="B34" s="525">
        <v>54</v>
      </c>
      <c r="C34" s="454" t="s">
        <v>253</v>
      </c>
      <c r="D34" s="455">
        <v>42745</v>
      </c>
      <c r="E34" s="460" t="s">
        <v>403</v>
      </c>
      <c r="G34" s="522">
        <v>78.4</v>
      </c>
      <c r="H34" s="512" t="s">
        <v>253</v>
      </c>
      <c r="I34" s="513">
        <v>212</v>
      </c>
      <c r="J34" s="514">
        <v>42460</v>
      </c>
      <c r="K34" s="515" t="s">
        <v>434</v>
      </c>
    </row>
    <row r="35" spans="2:11" ht="15">
      <c r="B35" s="525">
        <v>44</v>
      </c>
      <c r="C35" s="454" t="s">
        <v>253</v>
      </c>
      <c r="D35" s="455">
        <v>42745</v>
      </c>
      <c r="E35" s="460" t="s">
        <v>402</v>
      </c>
      <c r="G35" s="522">
        <v>19.5</v>
      </c>
      <c r="H35" s="512" t="s">
        <v>253</v>
      </c>
      <c r="I35" s="516">
        <v>213</v>
      </c>
      <c r="J35" s="514">
        <v>42460</v>
      </c>
      <c r="K35" s="515" t="s">
        <v>435</v>
      </c>
    </row>
    <row r="36" spans="2:11" ht="15">
      <c r="B36" s="525">
        <v>76.6</v>
      </c>
      <c r="C36" s="454">
        <v>3918</v>
      </c>
      <c r="D36" s="455">
        <v>42745</v>
      </c>
      <c r="E36" s="460" t="s">
        <v>225</v>
      </c>
      <c r="G36" s="522">
        <v>114</v>
      </c>
      <c r="H36" s="512" t="s">
        <v>253</v>
      </c>
      <c r="I36" s="513">
        <v>214</v>
      </c>
      <c r="J36" s="514">
        <v>42460</v>
      </c>
      <c r="K36" s="515" t="s">
        <v>436</v>
      </c>
    </row>
    <row r="37" spans="2:11" ht="15">
      <c r="B37" s="525">
        <v>2125</v>
      </c>
      <c r="C37" s="454">
        <v>3919</v>
      </c>
      <c r="D37" s="455">
        <v>42745</v>
      </c>
      <c r="E37" s="460" t="s">
        <v>242</v>
      </c>
      <c r="G37" s="523">
        <v>570.27</v>
      </c>
      <c r="H37" s="512" t="s">
        <v>222</v>
      </c>
      <c r="I37" s="513">
        <v>216</v>
      </c>
      <c r="J37" s="514">
        <v>42464</v>
      </c>
      <c r="K37" s="515" t="s">
        <v>437</v>
      </c>
    </row>
    <row r="38" spans="2:11" ht="15">
      <c r="B38" s="525">
        <v>840</v>
      </c>
      <c r="C38" s="454">
        <v>3920</v>
      </c>
      <c r="D38" s="455">
        <v>42745</v>
      </c>
      <c r="E38" s="460" t="s">
        <v>404</v>
      </c>
      <c r="G38" s="523">
        <v>586</v>
      </c>
      <c r="H38" s="512" t="s">
        <v>253</v>
      </c>
      <c r="I38" s="516">
        <v>217</v>
      </c>
      <c r="J38" s="514">
        <v>42460</v>
      </c>
      <c r="K38" s="515" t="s">
        <v>230</v>
      </c>
    </row>
    <row r="39" spans="2:11" ht="15">
      <c r="B39" s="525">
        <v>3083.88</v>
      </c>
      <c r="C39" s="454" t="s">
        <v>253</v>
      </c>
      <c r="D39" s="455">
        <v>42760</v>
      </c>
      <c r="E39" s="460" t="s">
        <v>417</v>
      </c>
      <c r="G39" s="523">
        <v>264</v>
      </c>
      <c r="H39" s="512" t="s">
        <v>253</v>
      </c>
      <c r="I39" s="513">
        <v>218</v>
      </c>
      <c r="J39" s="514">
        <v>42445</v>
      </c>
      <c r="K39" s="515" t="s">
        <v>255</v>
      </c>
    </row>
    <row r="40" spans="2:11" ht="15">
      <c r="B40" s="525">
        <v>138.16</v>
      </c>
      <c r="C40" s="454" t="s">
        <v>253</v>
      </c>
      <c r="D40" s="455">
        <v>42760</v>
      </c>
      <c r="E40" s="460" t="s">
        <v>224</v>
      </c>
      <c r="G40" s="523">
        <v>900</v>
      </c>
      <c r="H40" s="512" t="s">
        <v>253</v>
      </c>
      <c r="I40" s="516">
        <v>219</v>
      </c>
      <c r="J40" s="514">
        <v>42460</v>
      </c>
      <c r="K40" s="515" t="s">
        <v>438</v>
      </c>
    </row>
    <row r="41" spans="2:11" ht="15">
      <c r="B41" s="525">
        <v>176.4</v>
      </c>
      <c r="C41" s="454" t="s">
        <v>253</v>
      </c>
      <c r="D41" s="455">
        <v>42755</v>
      </c>
      <c r="E41" s="460" t="s">
        <v>229</v>
      </c>
      <c r="G41" s="523">
        <v>32</v>
      </c>
      <c r="H41" s="512" t="s">
        <v>253</v>
      </c>
      <c r="I41" s="513">
        <v>220</v>
      </c>
      <c r="J41" s="514">
        <v>42442</v>
      </c>
      <c r="K41" s="515" t="s">
        <v>439</v>
      </c>
    </row>
    <row r="42" spans="2:11" ht="15">
      <c r="B42" s="525">
        <v>800</v>
      </c>
      <c r="C42" s="454" t="s">
        <v>253</v>
      </c>
      <c r="D42" s="455">
        <v>42758</v>
      </c>
      <c r="E42" s="460" t="s">
        <v>230</v>
      </c>
      <c r="G42" s="523">
        <v>48.26</v>
      </c>
      <c r="H42" s="512" t="s">
        <v>253</v>
      </c>
      <c r="I42" s="516">
        <v>221</v>
      </c>
      <c r="J42" s="514">
        <v>42461</v>
      </c>
      <c r="K42" s="515" t="s">
        <v>400</v>
      </c>
    </row>
    <row r="43" spans="2:11" ht="15.75">
      <c r="B43" s="526">
        <f>SUM(B25:B42)</f>
        <v>10283.039999999999</v>
      </c>
      <c r="D43" s="455"/>
      <c r="E43" s="460"/>
      <c r="G43" s="523">
        <v>37.9</v>
      </c>
      <c r="H43" s="512" t="s">
        <v>253</v>
      </c>
      <c r="I43" s="513">
        <v>222</v>
      </c>
      <c r="J43" s="514">
        <v>42483</v>
      </c>
      <c r="K43" s="515" t="s">
        <v>440</v>
      </c>
    </row>
    <row r="44" spans="2:11" ht="15">
      <c r="B44" s="528"/>
      <c r="G44" s="523">
        <v>66.16</v>
      </c>
      <c r="H44" s="512" t="s">
        <v>253</v>
      </c>
      <c r="I44" s="516">
        <v>223</v>
      </c>
      <c r="J44" s="514">
        <v>42485</v>
      </c>
      <c r="K44" s="515" t="s">
        <v>441</v>
      </c>
    </row>
    <row r="45" spans="2:11" ht="15">
      <c r="B45" s="529"/>
      <c r="C45" s="454" t="s">
        <v>452</v>
      </c>
      <c r="G45" s="523">
        <v>190</v>
      </c>
      <c r="H45" s="512">
        <v>3887</v>
      </c>
      <c r="I45" s="513">
        <v>224</v>
      </c>
      <c r="J45" s="514">
        <v>42462</v>
      </c>
      <c r="K45" s="515" t="s">
        <v>252</v>
      </c>
    </row>
    <row r="46" spans="2:11" ht="15">
      <c r="B46" s="525">
        <v>346</v>
      </c>
      <c r="C46" s="454">
        <v>101601</v>
      </c>
      <c r="D46" s="455">
        <v>42744</v>
      </c>
      <c r="E46" s="460" t="s">
        <v>14</v>
      </c>
      <c r="G46" s="523">
        <v>600</v>
      </c>
      <c r="H46" s="512" t="s">
        <v>253</v>
      </c>
      <c r="I46" s="516">
        <v>225</v>
      </c>
      <c r="J46" s="514">
        <v>42460</v>
      </c>
      <c r="K46" s="515" t="s">
        <v>442</v>
      </c>
    </row>
    <row r="47" spans="2:11" ht="15">
      <c r="B47" s="525">
        <v>1020</v>
      </c>
      <c r="C47" s="454">
        <v>101602</v>
      </c>
      <c r="D47" s="455">
        <v>42752</v>
      </c>
      <c r="E47" s="460" t="s">
        <v>14</v>
      </c>
      <c r="G47" s="523">
        <v>356.2</v>
      </c>
      <c r="H47" s="512">
        <v>3890</v>
      </c>
      <c r="I47" s="513">
        <v>226</v>
      </c>
      <c r="J47" s="514">
        <v>42460</v>
      </c>
      <c r="K47" s="515" t="s">
        <v>223</v>
      </c>
    </row>
    <row r="48" spans="2:11" ht="15">
      <c r="B48" s="525">
        <v>3000</v>
      </c>
      <c r="C48" s="454" t="s">
        <v>360</v>
      </c>
      <c r="D48" s="455">
        <v>42740</v>
      </c>
      <c r="E48" s="460" t="s">
        <v>160</v>
      </c>
      <c r="G48" s="523">
        <v>331.98</v>
      </c>
      <c r="H48" s="512">
        <v>3891</v>
      </c>
      <c r="I48" s="516">
        <v>227</v>
      </c>
      <c r="J48" s="514">
        <v>42460</v>
      </c>
      <c r="K48" s="515" t="s">
        <v>223</v>
      </c>
    </row>
    <row r="49" spans="2:8" ht="15">
      <c r="B49" s="525">
        <v>320</v>
      </c>
      <c r="C49" s="454">
        <v>101603</v>
      </c>
      <c r="D49" s="455">
        <v>42759</v>
      </c>
      <c r="E49" s="460" t="s">
        <v>14</v>
      </c>
      <c r="G49" s="524" t="s">
        <v>451</v>
      </c>
      <c r="H49" s="518"/>
    </row>
    <row r="50" spans="2:5" ht="15.75">
      <c r="B50" s="526">
        <f>SUM(B46:B49)</f>
        <v>4686</v>
      </c>
      <c r="C50" s="456"/>
      <c r="D50" s="455"/>
      <c r="E50" s="460"/>
    </row>
    <row r="51" spans="2:5" ht="15">
      <c r="B51" s="525"/>
      <c r="C51" s="454"/>
      <c r="D51" s="455"/>
      <c r="E51" s="460"/>
    </row>
    <row r="52" spans="2:7" ht="15.75">
      <c r="B52" s="526">
        <v>62.38</v>
      </c>
      <c r="C52" s="454" t="s">
        <v>455</v>
      </c>
      <c r="D52" s="455"/>
      <c r="E52" s="460"/>
      <c r="G52" s="519">
        <f>SUM(G26:G48)</f>
        <v>4916.77</v>
      </c>
    </row>
    <row r="53" spans="2:5" ht="15">
      <c r="B53" s="525"/>
      <c r="C53" s="454" t="s">
        <v>462</v>
      </c>
      <c r="D53" s="455"/>
      <c r="E53" s="460"/>
    </row>
    <row r="54" spans="2:5" ht="15.75">
      <c r="B54" s="530">
        <v>29.32</v>
      </c>
      <c r="C54" s="454" t="s">
        <v>463</v>
      </c>
      <c r="D54" s="531">
        <v>42935</v>
      </c>
      <c r="E54" s="181"/>
    </row>
    <row r="55" spans="2:5" ht="15.75">
      <c r="B55" s="530">
        <v>22.6</v>
      </c>
      <c r="C55" s="532">
        <v>3910</v>
      </c>
      <c r="D55" s="455">
        <v>43022</v>
      </c>
      <c r="E55" s="181"/>
    </row>
    <row r="56" spans="2:5" ht="15.75">
      <c r="B56" s="530">
        <v>14</v>
      </c>
      <c r="C56" s="532">
        <v>3909</v>
      </c>
      <c r="D56" s="455">
        <v>43033</v>
      </c>
      <c r="E56" s="181"/>
    </row>
    <row r="57" spans="2:5" ht="15.75">
      <c r="B57" s="530"/>
      <c r="C57" s="454"/>
      <c r="D57" s="455"/>
      <c r="E57" s="181"/>
    </row>
    <row r="58" spans="2:5" ht="15.75">
      <c r="B58" s="527">
        <f>SUM(B54:B57)</f>
        <v>65.92</v>
      </c>
      <c r="C58" s="454"/>
      <c r="D58" s="455"/>
      <c r="E58" s="181"/>
    </row>
    <row r="59" ht="15">
      <c r="E59" s="181"/>
    </row>
    <row r="60" spans="2:5" ht="15.75">
      <c r="B60" s="534">
        <v>493.8</v>
      </c>
      <c r="C60" s="533" t="s">
        <v>467</v>
      </c>
      <c r="D60" s="103"/>
      <c r="E60" s="464"/>
    </row>
    <row r="62" spans="2:3" ht="15">
      <c r="B62" s="64">
        <v>49.68</v>
      </c>
      <c r="C62" s="386" t="s">
        <v>458</v>
      </c>
    </row>
  </sheetData>
  <sheetProtection/>
  <mergeCells count="2">
    <mergeCell ref="B24:E24"/>
    <mergeCell ref="G24:K2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L9" sqref="L9"/>
    </sheetView>
  </sheetViews>
  <sheetFormatPr defaultColWidth="8.88671875" defaultRowHeight="15"/>
  <cols>
    <col min="1" max="1" width="38.10546875" style="0" customWidth="1"/>
    <col min="2" max="2" width="11.3359375" style="64" customWidth="1"/>
    <col min="3" max="3" width="16.4453125" style="64" customWidth="1"/>
    <col min="4" max="4" width="11.77734375" style="439" customWidth="1"/>
    <col min="5" max="5" width="12.10546875" style="0" customWidth="1"/>
    <col min="6" max="6" width="4.77734375" style="0" customWidth="1"/>
    <col min="7" max="7" width="8.6640625" style="0" customWidth="1"/>
    <col min="8" max="8" width="7.10546875" style="0" customWidth="1"/>
    <col min="9" max="9" width="7.4453125" style="0" customWidth="1"/>
    <col min="11" max="11" width="15.6640625" style="0" customWidth="1"/>
  </cols>
  <sheetData>
    <row r="1" ht="15.75">
      <c r="A1" s="2" t="s">
        <v>549</v>
      </c>
    </row>
    <row r="3" ht="15.75">
      <c r="A3" s="2" t="s">
        <v>57</v>
      </c>
    </row>
    <row r="4" spans="1:3" ht="15">
      <c r="A4" s="97" t="s">
        <v>566</v>
      </c>
      <c r="C4" s="64">
        <v>201970.19</v>
      </c>
    </row>
    <row r="5" ht="15">
      <c r="A5" s="94" t="s">
        <v>87</v>
      </c>
    </row>
    <row r="6" spans="1:3" ht="15">
      <c r="A6" s="97" t="s">
        <v>464</v>
      </c>
      <c r="C6" s="64">
        <f>Income!AM91</f>
        <v>193771.08999999994</v>
      </c>
    </row>
    <row r="7" spans="1:4" ht="15">
      <c r="A7" s="97" t="s">
        <v>465</v>
      </c>
      <c r="B7" s="443"/>
      <c r="C7" s="443">
        <f>-Expenditure!AI242</f>
        <v>-150104.97</v>
      </c>
      <c r="D7" s="440"/>
    </row>
    <row r="8" spans="1:4" ht="15">
      <c r="A8" s="97"/>
      <c r="B8" s="443"/>
      <c r="C8" s="443"/>
      <c r="D8" s="440"/>
    </row>
    <row r="9" spans="2:4" ht="15.75" thickBot="1">
      <c r="B9" s="74"/>
      <c r="C9" s="74">
        <f>SUM(C4:C8)</f>
        <v>245636.3099999999</v>
      </c>
      <c r="D9" s="441"/>
    </row>
    <row r="10" ht="16.5" thickTop="1">
      <c r="A10" s="2" t="s">
        <v>293</v>
      </c>
    </row>
    <row r="11" ht="15">
      <c r="A11" s="97" t="s">
        <v>550</v>
      </c>
    </row>
    <row r="12" spans="1:2" ht="15">
      <c r="A12" s="97" t="s">
        <v>551</v>
      </c>
      <c r="B12" s="64">
        <v>30102.39</v>
      </c>
    </row>
    <row r="13" spans="1:4" ht="15">
      <c r="A13" s="97" t="s">
        <v>552</v>
      </c>
      <c r="B13" s="64">
        <v>224018.77</v>
      </c>
      <c r="D13" s="444" t="s">
        <v>576</v>
      </c>
    </row>
    <row r="14" spans="1:4" ht="15">
      <c r="A14" s="97" t="s">
        <v>460</v>
      </c>
      <c r="B14" s="443">
        <f>-B45</f>
        <v>-8484.85</v>
      </c>
      <c r="D14" s="444"/>
    </row>
    <row r="15" spans="1:2" ht="15">
      <c r="A15" s="505"/>
      <c r="B15" s="443"/>
    </row>
    <row r="16" spans="2:5" ht="15.75" thickBot="1">
      <c r="B16" s="74"/>
      <c r="C16" s="445">
        <f>SUM(B12:B15)</f>
        <v>245636.30999999997</v>
      </c>
      <c r="E16" s="443"/>
    </row>
    <row r="17" spans="3:4" ht="15.75" thickTop="1">
      <c r="C17" s="443">
        <f>C9-C16</f>
        <v>0</v>
      </c>
      <c r="D17" s="444" t="s">
        <v>102</v>
      </c>
    </row>
    <row r="18" spans="1:9" ht="15.75">
      <c r="A18" s="121"/>
      <c r="E18" s="509"/>
      <c r="F18" s="293"/>
      <c r="G18" s="293"/>
      <c r="H18" s="293"/>
      <c r="I18" s="293"/>
    </row>
    <row r="19" spans="2:11" ht="33.75" customHeight="1">
      <c r="B19" s="577" t="s">
        <v>567</v>
      </c>
      <c r="G19" s="587" t="s">
        <v>449</v>
      </c>
      <c r="H19" s="588"/>
      <c r="I19" s="588"/>
      <c r="J19" s="588"/>
      <c r="K19" s="589"/>
    </row>
    <row r="20" spans="2:11" ht="15">
      <c r="B20" s="579">
        <v>3083.88</v>
      </c>
      <c r="C20" s="512" t="s">
        <v>253</v>
      </c>
      <c r="D20" s="576">
        <v>42858</v>
      </c>
      <c r="E20" s="486" t="s">
        <v>554</v>
      </c>
      <c r="G20" s="510" t="s">
        <v>51</v>
      </c>
      <c r="H20" s="382"/>
      <c r="I20" s="511" t="s">
        <v>82</v>
      </c>
      <c r="J20" s="293"/>
      <c r="K20" s="181"/>
    </row>
    <row r="21" spans="2:11" ht="15">
      <c r="B21" s="579">
        <v>994.9</v>
      </c>
      <c r="C21" s="512" t="s">
        <v>253</v>
      </c>
      <c r="D21" s="576">
        <v>42830</v>
      </c>
      <c r="E21" s="486" t="s">
        <v>543</v>
      </c>
      <c r="G21" s="522">
        <v>210</v>
      </c>
      <c r="H21" s="512" t="s">
        <v>253</v>
      </c>
      <c r="I21" s="513">
        <v>198</v>
      </c>
      <c r="J21" s="514">
        <v>42460</v>
      </c>
      <c r="K21" s="515" t="s">
        <v>329</v>
      </c>
    </row>
    <row r="22" spans="1:11" ht="15">
      <c r="A22" s="97"/>
      <c r="B22" s="579">
        <v>190</v>
      </c>
      <c r="C22" s="512">
        <v>3928</v>
      </c>
      <c r="D22" s="576">
        <v>42825</v>
      </c>
      <c r="E22" s="486" t="s">
        <v>252</v>
      </c>
      <c r="G22" s="522">
        <v>75</v>
      </c>
      <c r="H22" s="512" t="s">
        <v>253</v>
      </c>
      <c r="I22" s="516">
        <v>199</v>
      </c>
      <c r="J22" s="514">
        <v>42460</v>
      </c>
      <c r="K22" s="515" t="s">
        <v>330</v>
      </c>
    </row>
    <row r="23" spans="1:11" ht="15">
      <c r="A23" s="97"/>
      <c r="B23" s="579">
        <v>264</v>
      </c>
      <c r="C23" s="512" t="s">
        <v>253</v>
      </c>
      <c r="D23" s="576">
        <v>42829</v>
      </c>
      <c r="E23" s="486" t="s">
        <v>509</v>
      </c>
      <c r="G23" s="522">
        <v>147.14</v>
      </c>
      <c r="H23" s="512" t="s">
        <v>253</v>
      </c>
      <c r="I23" s="513">
        <v>200</v>
      </c>
      <c r="J23" s="514">
        <v>42460</v>
      </c>
      <c r="K23" s="515" t="s">
        <v>370</v>
      </c>
    </row>
    <row r="24" spans="1:12" ht="15">
      <c r="A24" s="97"/>
      <c r="B24" s="579">
        <v>159.72</v>
      </c>
      <c r="C24" s="512">
        <v>3931</v>
      </c>
      <c r="D24" s="576">
        <v>42825</v>
      </c>
      <c r="E24" s="486" t="s">
        <v>225</v>
      </c>
      <c r="G24" s="522">
        <v>145.72</v>
      </c>
      <c r="H24" s="512" t="s">
        <v>253</v>
      </c>
      <c r="I24" s="516">
        <v>207</v>
      </c>
      <c r="J24" s="514">
        <v>42460</v>
      </c>
      <c r="K24" s="515" t="s">
        <v>428</v>
      </c>
      <c r="L24" s="486"/>
    </row>
    <row r="25" spans="1:12" ht="15">
      <c r="A25" s="97"/>
      <c r="B25" s="579">
        <v>396.5</v>
      </c>
      <c r="C25" s="512" t="s">
        <v>253</v>
      </c>
      <c r="D25" s="576">
        <v>42829</v>
      </c>
      <c r="E25" s="486" t="s">
        <v>511</v>
      </c>
      <c r="G25" s="522">
        <v>23.17</v>
      </c>
      <c r="H25" s="512" t="s">
        <v>253</v>
      </c>
      <c r="I25" s="513">
        <v>208</v>
      </c>
      <c r="J25" s="514">
        <v>42460</v>
      </c>
      <c r="K25" s="515" t="s">
        <v>429</v>
      </c>
      <c r="L25" s="486"/>
    </row>
    <row r="26" spans="1:11" ht="15">
      <c r="A26" s="97"/>
      <c r="B26" s="580">
        <v>140</v>
      </c>
      <c r="C26" s="512" t="s">
        <v>253</v>
      </c>
      <c r="D26" s="576">
        <v>42858</v>
      </c>
      <c r="E26" s="486" t="s">
        <v>541</v>
      </c>
      <c r="G26" s="522">
        <v>23.36</v>
      </c>
      <c r="H26" s="512" t="s">
        <v>253</v>
      </c>
      <c r="I26" s="516">
        <v>209</v>
      </c>
      <c r="J26" s="514">
        <v>42460</v>
      </c>
      <c r="K26" s="515" t="s">
        <v>430</v>
      </c>
    </row>
    <row r="27" spans="2:11" ht="15">
      <c r="B27" s="580">
        <v>800</v>
      </c>
      <c r="C27" s="512" t="s">
        <v>253</v>
      </c>
      <c r="D27" s="576">
        <v>42829</v>
      </c>
      <c r="E27" s="486" t="s">
        <v>542</v>
      </c>
      <c r="G27" s="522">
        <v>33.71</v>
      </c>
      <c r="H27" s="512" t="s">
        <v>253</v>
      </c>
      <c r="I27" s="513">
        <v>210</v>
      </c>
      <c r="J27" s="514">
        <v>42460</v>
      </c>
      <c r="K27" s="515" t="s">
        <v>431</v>
      </c>
    </row>
    <row r="28" spans="2:11" ht="15">
      <c r="B28" s="580">
        <v>265</v>
      </c>
      <c r="C28" s="512" t="s">
        <v>253</v>
      </c>
      <c r="D28" s="576">
        <v>42858</v>
      </c>
      <c r="E28" s="486" t="s">
        <v>532</v>
      </c>
      <c r="G28" s="522">
        <v>64</v>
      </c>
      <c r="H28" s="512" t="s">
        <v>253</v>
      </c>
      <c r="I28" s="516">
        <v>211</v>
      </c>
      <c r="J28" s="514">
        <v>42460</v>
      </c>
      <c r="K28" s="515" t="s">
        <v>432</v>
      </c>
    </row>
    <row r="29" spans="2:11" ht="15">
      <c r="B29" s="580">
        <v>35.56</v>
      </c>
      <c r="C29" s="512" t="s">
        <v>253</v>
      </c>
      <c r="D29" s="576">
        <v>42829</v>
      </c>
      <c r="E29" s="486" t="s">
        <v>544</v>
      </c>
      <c r="G29" s="522">
        <v>78.4</v>
      </c>
      <c r="H29" s="512" t="s">
        <v>253</v>
      </c>
      <c r="I29" s="513">
        <v>212</v>
      </c>
      <c r="J29" s="514">
        <v>42460</v>
      </c>
      <c r="K29" s="515" t="s">
        <v>434</v>
      </c>
    </row>
    <row r="30" spans="2:11" ht="15">
      <c r="B30" s="580">
        <v>8.6</v>
      </c>
      <c r="C30" s="512" t="s">
        <v>253</v>
      </c>
      <c r="D30" s="576">
        <v>42829</v>
      </c>
      <c r="E30" s="486" t="s">
        <v>545</v>
      </c>
      <c r="G30" s="522">
        <v>19.5</v>
      </c>
      <c r="H30" s="512" t="s">
        <v>253</v>
      </c>
      <c r="I30" s="516">
        <v>213</v>
      </c>
      <c r="J30" s="514">
        <v>42460</v>
      </c>
      <c r="K30" s="515" t="s">
        <v>435</v>
      </c>
    </row>
    <row r="31" spans="2:11" ht="15">
      <c r="B31" s="580">
        <v>141.17</v>
      </c>
      <c r="C31" s="512" t="s">
        <v>253</v>
      </c>
      <c r="D31" s="576">
        <v>42829</v>
      </c>
      <c r="E31" s="486" t="s">
        <v>407</v>
      </c>
      <c r="G31" s="522">
        <v>114</v>
      </c>
      <c r="H31" s="512" t="s">
        <v>253</v>
      </c>
      <c r="I31" s="513">
        <v>214</v>
      </c>
      <c r="J31" s="514">
        <v>42460</v>
      </c>
      <c r="K31" s="515" t="s">
        <v>436</v>
      </c>
    </row>
    <row r="32" spans="2:11" ht="15">
      <c r="B32" s="580">
        <v>88.6</v>
      </c>
      <c r="C32" s="512" t="s">
        <v>253</v>
      </c>
      <c r="D32" s="576">
        <v>42829</v>
      </c>
      <c r="E32" s="486" t="s">
        <v>474</v>
      </c>
      <c r="G32" s="523">
        <v>570.27</v>
      </c>
      <c r="H32" s="512" t="s">
        <v>222</v>
      </c>
      <c r="I32" s="513">
        <v>216</v>
      </c>
      <c r="J32" s="514">
        <v>42464</v>
      </c>
      <c r="K32" s="515" t="s">
        <v>437</v>
      </c>
    </row>
    <row r="33" spans="2:11" ht="15">
      <c r="B33" s="580">
        <v>110</v>
      </c>
      <c r="C33" s="512" t="s">
        <v>253</v>
      </c>
      <c r="D33" s="576">
        <v>42829</v>
      </c>
      <c r="E33" s="486" t="s">
        <v>553</v>
      </c>
      <c r="G33" s="523">
        <v>586</v>
      </c>
      <c r="H33" s="512" t="s">
        <v>253</v>
      </c>
      <c r="I33" s="516">
        <v>217</v>
      </c>
      <c r="J33" s="514">
        <v>42460</v>
      </c>
      <c r="K33" s="515" t="s">
        <v>230</v>
      </c>
    </row>
    <row r="34" spans="2:11" ht="15">
      <c r="B34" s="580">
        <v>20.4</v>
      </c>
      <c r="C34" s="512">
        <v>3929</v>
      </c>
      <c r="D34" s="576">
        <v>42825</v>
      </c>
      <c r="E34" s="486" t="s">
        <v>546</v>
      </c>
      <c r="G34" s="523">
        <v>264</v>
      </c>
      <c r="H34" s="512" t="s">
        <v>253</v>
      </c>
      <c r="I34" s="513">
        <v>218</v>
      </c>
      <c r="J34" s="514">
        <v>42445</v>
      </c>
      <c r="K34" s="515" t="s">
        <v>255</v>
      </c>
    </row>
    <row r="35" spans="2:11" ht="15">
      <c r="B35" s="580">
        <v>15.5</v>
      </c>
      <c r="C35" s="512">
        <v>3930</v>
      </c>
      <c r="D35" s="576">
        <v>42825</v>
      </c>
      <c r="E35" s="486" t="s">
        <v>547</v>
      </c>
      <c r="G35" s="523">
        <v>900</v>
      </c>
      <c r="H35" s="512" t="s">
        <v>253</v>
      </c>
      <c r="I35" s="516">
        <v>219</v>
      </c>
      <c r="J35" s="514">
        <v>42460</v>
      </c>
      <c r="K35" s="515" t="s">
        <v>438</v>
      </c>
    </row>
    <row r="36" spans="2:11" ht="15">
      <c r="B36" s="580">
        <v>581.4</v>
      </c>
      <c r="C36" s="512" t="s">
        <v>253</v>
      </c>
      <c r="D36" s="576">
        <v>42829</v>
      </c>
      <c r="E36" s="486" t="s">
        <v>548</v>
      </c>
      <c r="G36" s="523">
        <v>32</v>
      </c>
      <c r="H36" s="512" t="s">
        <v>253</v>
      </c>
      <c r="I36" s="513">
        <v>220</v>
      </c>
      <c r="J36" s="514">
        <v>42442</v>
      </c>
      <c r="K36" s="515" t="s">
        <v>439</v>
      </c>
    </row>
    <row r="37" spans="2:11" ht="15">
      <c r="B37" s="580">
        <v>257.82</v>
      </c>
      <c r="C37" s="512" t="s">
        <v>222</v>
      </c>
      <c r="D37" s="576">
        <v>42830</v>
      </c>
      <c r="E37" s="486" t="s">
        <v>319</v>
      </c>
      <c r="G37" s="523">
        <v>48.26</v>
      </c>
      <c r="H37" s="512" t="s">
        <v>253</v>
      </c>
      <c r="I37" s="516">
        <v>221</v>
      </c>
      <c r="J37" s="514">
        <v>42461</v>
      </c>
      <c r="K37" s="515" t="s">
        <v>400</v>
      </c>
    </row>
    <row r="38" spans="2:11" ht="15">
      <c r="B38" s="580">
        <v>116</v>
      </c>
      <c r="C38" s="512" t="s">
        <v>253</v>
      </c>
      <c r="D38" s="576">
        <v>42832</v>
      </c>
      <c r="E38" s="486" t="s">
        <v>249</v>
      </c>
      <c r="G38" s="523">
        <v>37.9</v>
      </c>
      <c r="H38" s="512" t="s">
        <v>253</v>
      </c>
      <c r="I38" s="513">
        <v>222</v>
      </c>
      <c r="J38" s="514">
        <v>42483</v>
      </c>
      <c r="K38" s="515" t="s">
        <v>440</v>
      </c>
    </row>
    <row r="39" spans="2:11" ht="15">
      <c r="B39" s="580">
        <v>24</v>
      </c>
      <c r="C39" s="512" t="s">
        <v>253</v>
      </c>
      <c r="D39" s="576">
        <v>42858</v>
      </c>
      <c r="E39" s="486" t="s">
        <v>368</v>
      </c>
      <c r="G39" s="523">
        <v>66.16</v>
      </c>
      <c r="H39" s="512" t="s">
        <v>253</v>
      </c>
      <c r="I39" s="516">
        <v>223</v>
      </c>
      <c r="J39" s="514">
        <v>42485</v>
      </c>
      <c r="K39" s="515" t="s">
        <v>441</v>
      </c>
    </row>
    <row r="40" spans="2:11" ht="15">
      <c r="B40" s="580">
        <v>438</v>
      </c>
      <c r="C40" s="512" t="s">
        <v>253</v>
      </c>
      <c r="D40" s="576">
        <v>42858</v>
      </c>
      <c r="E40" s="486" t="s">
        <v>348</v>
      </c>
      <c r="G40" s="523">
        <v>190</v>
      </c>
      <c r="H40" s="512">
        <v>3887</v>
      </c>
      <c r="I40" s="513">
        <v>224</v>
      </c>
      <c r="J40" s="514">
        <v>42462</v>
      </c>
      <c r="K40" s="515" t="s">
        <v>252</v>
      </c>
    </row>
    <row r="41" spans="2:11" ht="15">
      <c r="B41" s="580">
        <v>43</v>
      </c>
      <c r="C41" s="512" t="s">
        <v>253</v>
      </c>
      <c r="D41" s="576">
        <v>42858</v>
      </c>
      <c r="E41" s="486" t="s">
        <v>555</v>
      </c>
      <c r="G41" s="523">
        <v>600</v>
      </c>
      <c r="H41" s="512" t="s">
        <v>253</v>
      </c>
      <c r="I41" s="516">
        <v>225</v>
      </c>
      <c r="J41" s="514">
        <v>42460</v>
      </c>
      <c r="K41" s="515" t="s">
        <v>442</v>
      </c>
    </row>
    <row r="42" spans="2:11" ht="15">
      <c r="B42" s="580">
        <v>82.4</v>
      </c>
      <c r="C42" s="512" t="s">
        <v>253</v>
      </c>
      <c r="D42" s="576">
        <v>42858</v>
      </c>
      <c r="E42" s="486" t="s">
        <v>556</v>
      </c>
      <c r="G42" s="523">
        <v>356.2</v>
      </c>
      <c r="H42" s="512">
        <v>3890</v>
      </c>
      <c r="I42" s="513">
        <v>226</v>
      </c>
      <c r="J42" s="514">
        <v>42460</v>
      </c>
      <c r="K42" s="515" t="s">
        <v>223</v>
      </c>
    </row>
    <row r="43" spans="2:11" ht="15">
      <c r="B43" s="580">
        <v>144.8</v>
      </c>
      <c r="C43" s="512" t="s">
        <v>253</v>
      </c>
      <c r="D43" s="576">
        <v>42858</v>
      </c>
      <c r="E43" s="486" t="s">
        <v>557</v>
      </c>
      <c r="G43" s="523">
        <v>331.98</v>
      </c>
      <c r="H43" s="512">
        <v>3891</v>
      </c>
      <c r="I43" s="516">
        <v>227</v>
      </c>
      <c r="J43" s="514">
        <v>42460</v>
      </c>
      <c r="K43" s="515" t="s">
        <v>223</v>
      </c>
    </row>
    <row r="44" spans="2:8" ht="15">
      <c r="B44" s="581">
        <v>83.6</v>
      </c>
      <c r="C44" s="512" t="s">
        <v>253</v>
      </c>
      <c r="D44" s="576">
        <v>42858</v>
      </c>
      <c r="E44" s="486" t="s">
        <v>558</v>
      </c>
      <c r="G44" s="524" t="s">
        <v>451</v>
      </c>
      <c r="H44" s="518"/>
    </row>
    <row r="45" ht="15.75">
      <c r="B45" s="578">
        <f>SUM(B20:B44)</f>
        <v>8484.85</v>
      </c>
    </row>
    <row r="47" spans="2:7" ht="15.75">
      <c r="B47" s="530"/>
      <c r="C47" s="532"/>
      <c r="D47" s="455"/>
      <c r="E47" s="181"/>
      <c r="G47" s="519">
        <f>SUM(G21:G43)</f>
        <v>4916.77</v>
      </c>
    </row>
    <row r="48" spans="2:5" ht="15.75">
      <c r="B48" s="530"/>
      <c r="C48" s="454"/>
      <c r="D48" s="455"/>
      <c r="E48" s="181"/>
    </row>
    <row r="49" spans="2:5" ht="15.75">
      <c r="B49" s="527"/>
      <c r="C49" s="454"/>
      <c r="D49" s="455"/>
      <c r="E49" s="181"/>
    </row>
    <row r="50" ht="15">
      <c r="E50" s="181"/>
    </row>
    <row r="51" spans="2:5" ht="15.75">
      <c r="B51" s="534"/>
      <c r="C51" s="533"/>
      <c r="D51" s="103"/>
      <c r="E51" s="464"/>
    </row>
    <row r="53" ht="15">
      <c r="C53" s="386"/>
    </row>
    <row r="54" ht="15">
      <c r="C54" s="386"/>
    </row>
    <row r="55" ht="15">
      <c r="C55" s="386"/>
    </row>
    <row r="57" s="486" customFormat="1" ht="14.25"/>
    <row r="58" s="486" customFormat="1" ht="14.25"/>
    <row r="59" s="486" customFormat="1" ht="14.25"/>
    <row r="60" s="486" customFormat="1" ht="14.25"/>
    <row r="61" s="486" customFormat="1" ht="14.25"/>
    <row r="62" s="486" customFormat="1" ht="14.25"/>
    <row r="63" s="486" customFormat="1" ht="14.25"/>
    <row r="64" s="486" customFormat="1" ht="14.25"/>
    <row r="65" s="486" customFormat="1" ht="14.25"/>
    <row r="66" s="486" customFormat="1" ht="14.25"/>
    <row r="67" s="486" customFormat="1" ht="14.25"/>
    <row r="68" s="486" customFormat="1" ht="14.25"/>
    <row r="69" s="486" customFormat="1" ht="14.25"/>
    <row r="70" s="486" customFormat="1" ht="14.25"/>
    <row r="71" s="486" customFormat="1" ht="14.25"/>
    <row r="72" s="486" customFormat="1" ht="14.25"/>
    <row r="73" s="486" customFormat="1" ht="14.25"/>
    <row r="74" s="486" customFormat="1" ht="14.25"/>
    <row r="75" s="486" customFormat="1" ht="14.25"/>
    <row r="76" s="486" customFormat="1" ht="14.25"/>
    <row r="77" s="486" customFormat="1" ht="14.25"/>
    <row r="78" s="486" customFormat="1" ht="14.25"/>
    <row r="79" s="486" customFormat="1" ht="14.25"/>
    <row r="80" s="486" customFormat="1" ht="14.25"/>
    <row r="81" s="486" customFormat="1" ht="14.25"/>
  </sheetData>
  <sheetProtection/>
  <mergeCells count="1">
    <mergeCell ref="G19:K19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60" zoomScaleNormal="60" workbookViewId="0" topLeftCell="A1">
      <selection activeCell="D55" sqref="D55"/>
    </sheetView>
  </sheetViews>
  <sheetFormatPr defaultColWidth="8.88671875" defaultRowHeight="15"/>
  <cols>
    <col min="1" max="1" width="10.99609375" style="368" customWidth="1"/>
    <col min="2" max="2" width="25.10546875" style="178" customWidth="1"/>
    <col min="3" max="3" width="10.77734375" style="368" customWidth="1"/>
    <col min="4" max="4" width="11.99609375" style="369" customWidth="1"/>
    <col min="5" max="5" width="11.10546875" style="370" customWidth="1"/>
    <col min="6" max="6" width="1.88671875" style="97" hidden="1" customWidth="1"/>
    <col min="7" max="7" width="11.77734375" style="97" hidden="1" customWidth="1"/>
    <col min="8" max="8" width="1.4375" style="350" customWidth="1"/>
    <col min="9" max="9" width="10.88671875" style="350" customWidth="1"/>
    <col min="10" max="10" width="13.10546875" style="97" hidden="1" customWidth="1"/>
    <col min="11" max="11" width="11.77734375" style="97" hidden="1" customWidth="1"/>
    <col min="12" max="16384" width="8.88671875" style="97" customWidth="1"/>
  </cols>
  <sheetData>
    <row r="1" ht="15.75">
      <c r="B1" s="2" t="s">
        <v>148</v>
      </c>
    </row>
    <row r="2" ht="9" customHeight="1">
      <c r="B2" s="97"/>
    </row>
    <row r="3" spans="2:5" ht="21" customHeight="1">
      <c r="B3" s="629" t="s">
        <v>515</v>
      </c>
      <c r="C3" s="629"/>
      <c r="D3" s="629"/>
      <c r="E3" s="629"/>
    </row>
    <row r="4" spans="2:5" ht="21" customHeight="1">
      <c r="B4" s="629" t="s">
        <v>516</v>
      </c>
      <c r="C4" s="629"/>
      <c r="D4" s="629"/>
      <c r="E4" s="539"/>
    </row>
    <row r="5" spans="2:5" ht="21" customHeight="1">
      <c r="B5" s="499"/>
      <c r="C5" s="499"/>
      <c r="D5" s="499"/>
      <c r="E5" s="499"/>
    </row>
    <row r="6" spans="1:9" ht="21" customHeight="1">
      <c r="A6" s="623" t="s">
        <v>357</v>
      </c>
      <c r="B6" s="626" t="s">
        <v>35</v>
      </c>
      <c r="C6" s="620" t="s">
        <v>527</v>
      </c>
      <c r="D6" s="621"/>
      <c r="E6" s="622"/>
      <c r="G6" s="623" t="s">
        <v>416</v>
      </c>
      <c r="I6" s="623" t="s">
        <v>528</v>
      </c>
    </row>
    <row r="7" spans="1:11" ht="15.75" customHeight="1">
      <c r="A7" s="624"/>
      <c r="B7" s="627"/>
      <c r="C7" s="623" t="s">
        <v>357</v>
      </c>
      <c r="D7" s="630" t="s">
        <v>508</v>
      </c>
      <c r="E7" s="630" t="s">
        <v>499</v>
      </c>
      <c r="G7" s="624"/>
      <c r="I7" s="624"/>
      <c r="J7" s="500" t="s">
        <v>238</v>
      </c>
      <c r="K7" s="390" t="s">
        <v>243</v>
      </c>
    </row>
    <row r="8" spans="1:11" s="96" customFormat="1" ht="15.75" customHeight="1">
      <c r="A8" s="624"/>
      <c r="B8" s="627"/>
      <c r="C8" s="624"/>
      <c r="D8" s="631"/>
      <c r="E8" s="631"/>
      <c r="G8" s="624"/>
      <c r="H8" s="98"/>
      <c r="I8" s="624"/>
      <c r="J8" s="501" t="s">
        <v>220</v>
      </c>
      <c r="K8" s="304" t="s">
        <v>220</v>
      </c>
    </row>
    <row r="9" spans="1:11" ht="15.75">
      <c r="A9" s="624"/>
      <c r="B9" s="627"/>
      <c r="C9" s="624"/>
      <c r="D9" s="631"/>
      <c r="E9" s="631"/>
      <c r="G9" s="624"/>
      <c r="I9" s="624"/>
      <c r="J9" s="501" t="s">
        <v>25</v>
      </c>
      <c r="K9" s="304" t="s">
        <v>25</v>
      </c>
    </row>
    <row r="10" spans="1:11" ht="15.75">
      <c r="A10" s="625"/>
      <c r="B10" s="628"/>
      <c r="C10" s="625"/>
      <c r="D10" s="632"/>
      <c r="E10" s="632"/>
      <c r="G10" s="625"/>
      <c r="I10" s="625"/>
      <c r="J10" s="502" t="s">
        <v>234</v>
      </c>
      <c r="K10" s="372" t="s">
        <v>244</v>
      </c>
    </row>
    <row r="11" spans="1:11" ht="15.75">
      <c r="A11" s="263" t="s">
        <v>214</v>
      </c>
      <c r="B11" s="276" t="s">
        <v>135</v>
      </c>
      <c r="C11" s="374" t="s">
        <v>206</v>
      </c>
      <c r="D11" s="374" t="s">
        <v>206</v>
      </c>
      <c r="E11" s="374" t="s">
        <v>206</v>
      </c>
      <c r="G11" s="304" t="s">
        <v>213</v>
      </c>
      <c r="I11" s="374" t="s">
        <v>206</v>
      </c>
      <c r="J11" s="306"/>
      <c r="K11" s="306"/>
    </row>
    <row r="12" spans="1:11" ht="15.75">
      <c r="A12" s="263"/>
      <c r="B12" s="278" t="s">
        <v>136</v>
      </c>
      <c r="C12" s="374"/>
      <c r="D12" s="374"/>
      <c r="E12" s="374"/>
      <c r="G12" s="304"/>
      <c r="I12" s="374"/>
      <c r="J12" s="374" t="s">
        <v>206</v>
      </c>
      <c r="K12" s="374" t="s">
        <v>206</v>
      </c>
    </row>
    <row r="13" spans="1:11" ht="15">
      <c r="A13" s="306">
        <v>38000</v>
      </c>
      <c r="B13" s="277" t="s">
        <v>137</v>
      </c>
      <c r="C13" s="122">
        <f>A13</f>
        <v>38000</v>
      </c>
      <c r="D13" s="373">
        <f>Expenditure!E242+D62-D70</f>
        <v>41799.68</v>
      </c>
      <c r="E13" s="371">
        <f>C13-D13</f>
        <v>-3799.6800000000003</v>
      </c>
      <c r="G13" s="306">
        <f>D13/8*12</f>
        <v>62699.520000000004</v>
      </c>
      <c r="I13" s="306">
        <v>38000</v>
      </c>
      <c r="J13" s="306">
        <v>40000</v>
      </c>
      <c r="K13" s="306">
        <v>10000</v>
      </c>
    </row>
    <row r="14" spans="1:11" ht="15">
      <c r="A14" s="306">
        <v>10000</v>
      </c>
      <c r="B14" s="277" t="s">
        <v>327</v>
      </c>
      <c r="C14" s="122">
        <f aca="true" t="shared" si="0" ref="C14:C24">A14</f>
        <v>10000</v>
      </c>
      <c r="D14" s="373">
        <f>Expenditure!F242</f>
        <v>9265.59</v>
      </c>
      <c r="E14" s="371">
        <f aca="true" t="shared" si="1" ref="E14:E24">C14-D14</f>
        <v>734.4099999999999</v>
      </c>
      <c r="G14" s="306">
        <v>9500</v>
      </c>
      <c r="I14" s="306">
        <v>9500</v>
      </c>
      <c r="J14" s="306">
        <v>10000</v>
      </c>
      <c r="K14" s="306"/>
    </row>
    <row r="15" spans="1:11" ht="15">
      <c r="A15" s="306">
        <v>8630</v>
      </c>
      <c r="B15" s="277" t="s">
        <v>154</v>
      </c>
      <c r="C15" s="122">
        <f t="shared" si="0"/>
        <v>8630</v>
      </c>
      <c r="D15" s="373">
        <f>Expenditure!G242</f>
        <v>7576.77</v>
      </c>
      <c r="E15" s="371">
        <f t="shared" si="1"/>
        <v>1053.2299999999996</v>
      </c>
      <c r="G15" s="306">
        <v>8500</v>
      </c>
      <c r="I15" s="306">
        <v>10000</v>
      </c>
      <c r="J15" s="306">
        <v>15000</v>
      </c>
      <c r="K15" s="306">
        <v>15000</v>
      </c>
    </row>
    <row r="16" spans="1:11" ht="15">
      <c r="A16" s="306">
        <v>6000</v>
      </c>
      <c r="B16" s="277" t="s">
        <v>233</v>
      </c>
      <c r="C16" s="122">
        <f t="shared" si="0"/>
        <v>6000</v>
      </c>
      <c r="D16" s="373">
        <f>Expenditure!H242+Expenditure!I242+Expenditure!J242</f>
        <v>6219.470000000001</v>
      </c>
      <c r="E16" s="371">
        <f t="shared" si="1"/>
        <v>-219.47000000000116</v>
      </c>
      <c r="G16" s="306">
        <v>5000</v>
      </c>
      <c r="I16" s="306">
        <v>5000</v>
      </c>
      <c r="J16" s="306">
        <v>10000</v>
      </c>
      <c r="K16" s="306">
        <v>10000</v>
      </c>
    </row>
    <row r="17" spans="1:11" ht="15">
      <c r="A17" s="306">
        <v>2250</v>
      </c>
      <c r="B17" s="277" t="s">
        <v>138</v>
      </c>
      <c r="C17" s="122">
        <f t="shared" si="0"/>
        <v>2250</v>
      </c>
      <c r="D17" s="373">
        <f>Expenditure!K242</f>
        <v>2645.958</v>
      </c>
      <c r="E17" s="371">
        <f t="shared" si="1"/>
        <v>-395.9580000000001</v>
      </c>
      <c r="G17" s="306">
        <v>2250</v>
      </c>
      <c r="I17" s="306">
        <v>2250</v>
      </c>
      <c r="J17" s="306">
        <v>5000</v>
      </c>
      <c r="K17" s="306">
        <v>5000</v>
      </c>
    </row>
    <row r="18" spans="1:11" ht="15">
      <c r="A18" s="306">
        <v>300</v>
      </c>
      <c r="B18" s="277" t="s">
        <v>139</v>
      </c>
      <c r="C18" s="122">
        <f t="shared" si="0"/>
        <v>300</v>
      </c>
      <c r="D18" s="373">
        <f>Expenditure!L242</f>
        <v>0</v>
      </c>
      <c r="E18" s="371">
        <f t="shared" si="1"/>
        <v>300</v>
      </c>
      <c r="G18" s="306">
        <v>0</v>
      </c>
      <c r="I18" s="306">
        <v>200</v>
      </c>
      <c r="J18" s="306"/>
      <c r="K18" s="306"/>
    </row>
    <row r="19" spans="1:11" ht="15">
      <c r="A19" s="306">
        <v>2000</v>
      </c>
      <c r="B19" s="277" t="s">
        <v>128</v>
      </c>
      <c r="C19" s="122">
        <f t="shared" si="0"/>
        <v>2000</v>
      </c>
      <c r="D19" s="373">
        <f>Expenditure!M242</f>
        <v>1940.57</v>
      </c>
      <c r="E19" s="371">
        <f t="shared" si="1"/>
        <v>59.430000000000064</v>
      </c>
      <c r="G19" s="306">
        <v>1941</v>
      </c>
      <c r="I19" s="306">
        <v>2000</v>
      </c>
      <c r="J19" s="306">
        <v>1800</v>
      </c>
      <c r="K19" s="306">
        <v>1800</v>
      </c>
    </row>
    <row r="20" spans="1:11" ht="15">
      <c r="A20" s="306">
        <v>1500</v>
      </c>
      <c r="B20" s="277" t="s">
        <v>111</v>
      </c>
      <c r="C20" s="122">
        <f t="shared" si="0"/>
        <v>1500</v>
      </c>
      <c r="D20" s="373">
        <f>Expenditure!N242+D63-D73</f>
        <v>1500</v>
      </c>
      <c r="E20" s="371">
        <f t="shared" si="1"/>
        <v>0</v>
      </c>
      <c r="G20" s="306">
        <v>1500</v>
      </c>
      <c r="I20" s="306">
        <v>1500</v>
      </c>
      <c r="J20" s="306">
        <v>2100</v>
      </c>
      <c r="K20" s="306">
        <v>2100</v>
      </c>
    </row>
    <row r="21" spans="1:11" ht="15">
      <c r="A21" s="306">
        <v>7000</v>
      </c>
      <c r="B21" s="277" t="s">
        <v>155</v>
      </c>
      <c r="C21" s="122">
        <f t="shared" si="0"/>
        <v>7000</v>
      </c>
      <c r="D21" s="373">
        <f>Expenditure!AH104+Expenditure!Q242</f>
        <v>5564.15</v>
      </c>
      <c r="E21" s="371">
        <f t="shared" si="1"/>
        <v>1435.8500000000004</v>
      </c>
      <c r="G21" s="306">
        <v>7000</v>
      </c>
      <c r="I21" s="306">
        <v>10000</v>
      </c>
      <c r="J21" s="306">
        <v>7000</v>
      </c>
      <c r="K21" s="306">
        <v>7000</v>
      </c>
    </row>
    <row r="22" spans="1:12" ht="15">
      <c r="A22" s="306">
        <v>2500</v>
      </c>
      <c r="B22" s="277" t="s">
        <v>236</v>
      </c>
      <c r="C22" s="122">
        <f t="shared" si="0"/>
        <v>2500</v>
      </c>
      <c r="D22" s="373">
        <f>Expenditure!S242</f>
        <v>5781.42</v>
      </c>
      <c r="E22" s="371">
        <f t="shared" si="1"/>
        <v>-3281.42</v>
      </c>
      <c r="G22" s="306">
        <v>4500</v>
      </c>
      <c r="I22" s="306">
        <v>5000</v>
      </c>
      <c r="J22" s="306">
        <v>3000</v>
      </c>
      <c r="K22" s="306">
        <v>3000</v>
      </c>
      <c r="L22" s="97" t="s">
        <v>414</v>
      </c>
    </row>
    <row r="23" spans="1:11" ht="15">
      <c r="A23" s="306">
        <v>80</v>
      </c>
      <c r="B23" s="277" t="s">
        <v>216</v>
      </c>
      <c r="C23" s="122">
        <f t="shared" si="0"/>
        <v>80</v>
      </c>
      <c r="D23" s="373">
        <f>Expenditure!O242</f>
        <v>16.2</v>
      </c>
      <c r="E23" s="371">
        <f t="shared" si="1"/>
        <v>63.8</v>
      </c>
      <c r="G23" s="306">
        <v>16</v>
      </c>
      <c r="I23" s="306">
        <v>20</v>
      </c>
      <c r="J23" s="306"/>
      <c r="K23" s="306"/>
    </row>
    <row r="24" spans="1:11" ht="15">
      <c r="A24" s="306">
        <v>16000</v>
      </c>
      <c r="B24" s="277" t="s">
        <v>84</v>
      </c>
      <c r="C24" s="122">
        <f t="shared" si="0"/>
        <v>16000</v>
      </c>
      <c r="D24" s="375">
        <v>0</v>
      </c>
      <c r="E24" s="376">
        <f t="shared" si="1"/>
        <v>16000</v>
      </c>
      <c r="G24" s="306">
        <v>0</v>
      </c>
      <c r="I24" s="306">
        <v>12000</v>
      </c>
      <c r="J24" s="306"/>
      <c r="K24" s="306"/>
    </row>
    <row r="25" spans="1:11" ht="15.75">
      <c r="A25" s="264">
        <f>SUM(A13:A24)</f>
        <v>94260</v>
      </c>
      <c r="B25" s="277"/>
      <c r="C25" s="167">
        <f>SUM(C13:C24)</f>
        <v>94260</v>
      </c>
      <c r="D25" s="272">
        <f>SUM(D13:D24)</f>
        <v>82309.808</v>
      </c>
      <c r="E25" s="265">
        <f>SUM(E13:E24)</f>
        <v>11950.192</v>
      </c>
      <c r="F25" s="141"/>
      <c r="G25" s="305">
        <f>SUM(G13:G24)</f>
        <v>102906.52</v>
      </c>
      <c r="I25" s="271">
        <f>SUM(I13:I24)</f>
        <v>95470</v>
      </c>
      <c r="J25" s="271">
        <f>SUM(J13:J24)</f>
        <v>93900</v>
      </c>
      <c r="K25" s="271">
        <f>SUM(K13:K24)</f>
        <v>53900</v>
      </c>
    </row>
    <row r="26" spans="1:11" ht="15.75">
      <c r="A26" s="266"/>
      <c r="B26" s="278" t="s">
        <v>140</v>
      </c>
      <c r="C26" s="122"/>
      <c r="D26" s="373"/>
      <c r="E26" s="371"/>
      <c r="G26" s="306"/>
      <c r="I26" s="306"/>
      <c r="J26" s="306"/>
      <c r="K26" s="306"/>
    </row>
    <row r="27" spans="1:11" ht="15">
      <c r="A27" s="377">
        <v>200</v>
      </c>
      <c r="B27" s="277" t="s">
        <v>245</v>
      </c>
      <c r="C27" s="122">
        <f>A27</f>
        <v>200</v>
      </c>
      <c r="D27" s="373">
        <f>24+D72</f>
        <v>66</v>
      </c>
      <c r="E27" s="371">
        <f>D27-C27</f>
        <v>-134</v>
      </c>
      <c r="G27" s="378">
        <v>50</v>
      </c>
      <c r="I27" s="306">
        <v>50</v>
      </c>
      <c r="J27" s="306">
        <v>2000</v>
      </c>
      <c r="K27" s="306">
        <v>2000</v>
      </c>
    </row>
    <row r="28" spans="1:11" ht="15">
      <c r="A28" s="377">
        <v>10000</v>
      </c>
      <c r="B28" s="277" t="s">
        <v>237</v>
      </c>
      <c r="C28" s="122">
        <f>A28</f>
        <v>10000</v>
      </c>
      <c r="D28" s="373">
        <f>Income!I91</f>
        <v>13382.75</v>
      </c>
      <c r="E28" s="371">
        <f>D28-C28</f>
        <v>3382.75</v>
      </c>
      <c r="G28" s="378">
        <v>10000</v>
      </c>
      <c r="I28" s="306">
        <v>10000</v>
      </c>
      <c r="J28" s="306">
        <v>9000</v>
      </c>
      <c r="K28" s="306">
        <v>9000</v>
      </c>
    </row>
    <row r="29" spans="1:11" ht="15">
      <c r="A29" s="379">
        <v>2000</v>
      </c>
      <c r="B29" s="277" t="s">
        <v>60</v>
      </c>
      <c r="C29" s="122">
        <f>A29</f>
        <v>2000</v>
      </c>
      <c r="D29" s="380">
        <f>Income!J91+Income!K91+Income!L91+Income!M91+Income!N91+Income!O91+Income!P91+Income!Q91-Expenditure!R242+Income!R91+Income!AL92+Income!AL9+Income!G91+Income!AL9-Expenditure!P242</f>
        <v>1874.0400000000002</v>
      </c>
      <c r="E29" s="376">
        <f>D29-C29</f>
        <v>-125.95999999999981</v>
      </c>
      <c r="G29" s="381">
        <v>2000</v>
      </c>
      <c r="I29" s="306">
        <v>2000</v>
      </c>
      <c r="J29" s="306">
        <v>2000</v>
      </c>
      <c r="K29" s="306">
        <v>2000</v>
      </c>
    </row>
    <row r="30" spans="1:11" ht="15.75">
      <c r="A30" s="267">
        <f>SUM(A27:A29)</f>
        <v>12200</v>
      </c>
      <c r="B30" s="277"/>
      <c r="C30" s="305">
        <f>SUM(C27:C29)</f>
        <v>12200</v>
      </c>
      <c r="D30" s="275">
        <f>SUM(D27:D29)</f>
        <v>15322.79</v>
      </c>
      <c r="E30" s="268">
        <f>SUM(E27:E29)</f>
        <v>3122.79</v>
      </c>
      <c r="G30" s="183">
        <f>SUM(G27:G29)</f>
        <v>12050</v>
      </c>
      <c r="I30" s="272">
        <f>SUM(I27:I29)</f>
        <v>12050</v>
      </c>
      <c r="J30" s="272">
        <f>SUM(J27:J29)</f>
        <v>13000</v>
      </c>
      <c r="K30" s="272">
        <f>SUM(K27:K29)</f>
        <v>13000</v>
      </c>
    </row>
    <row r="31" spans="1:11" ht="30.75" customHeight="1">
      <c r="A31" s="269">
        <f>SUM(A30-A25)</f>
        <v>-82060</v>
      </c>
      <c r="B31" s="279" t="s">
        <v>141</v>
      </c>
      <c r="C31" s="568">
        <f>SUM(C30-C25)</f>
        <v>-82060</v>
      </c>
      <c r="D31" s="272">
        <f>SUM(D30-D25)</f>
        <v>-66987.01800000001</v>
      </c>
      <c r="E31" s="265">
        <f>SUM(E30+E25)</f>
        <v>15072.982</v>
      </c>
      <c r="G31" s="568">
        <f>SUM(G30-G25)</f>
        <v>-90856.52</v>
      </c>
      <c r="H31" s="248"/>
      <c r="I31" s="272">
        <f>I30-I25</f>
        <v>-83420</v>
      </c>
      <c r="J31" s="273">
        <f>SUM(J30-J25)</f>
        <v>-80900</v>
      </c>
      <c r="K31" s="273">
        <f>SUM(K30-K25)</f>
        <v>-40900</v>
      </c>
    </row>
    <row r="32" spans="1:11" ht="15">
      <c r="A32" s="254"/>
      <c r="B32" s="277"/>
      <c r="C32" s="382"/>
      <c r="D32" s="373"/>
      <c r="E32" s="371"/>
      <c r="G32" s="215"/>
      <c r="I32" s="306"/>
      <c r="J32" s="306"/>
      <c r="K32" s="306"/>
    </row>
    <row r="33" spans="1:11" ht="15.75">
      <c r="A33" s="266"/>
      <c r="B33" s="276" t="s">
        <v>142</v>
      </c>
      <c r="C33" s="122"/>
      <c r="D33" s="373"/>
      <c r="E33" s="371"/>
      <c r="G33" s="306"/>
      <c r="I33" s="306"/>
      <c r="J33" s="306"/>
      <c r="K33" s="306"/>
    </row>
    <row r="34" spans="1:11" ht="15.75">
      <c r="A34" s="245"/>
      <c r="B34" s="280" t="s">
        <v>143</v>
      </c>
      <c r="C34" s="120"/>
      <c r="D34" s="373"/>
      <c r="E34" s="371"/>
      <c r="G34" s="183"/>
      <c r="I34" s="306"/>
      <c r="J34" s="306"/>
      <c r="K34" s="306"/>
    </row>
    <row r="35" spans="1:11" ht="15">
      <c r="A35" s="377">
        <v>110</v>
      </c>
      <c r="B35" s="277" t="s">
        <v>144</v>
      </c>
      <c r="C35" s="383">
        <f>A35</f>
        <v>110</v>
      </c>
      <c r="D35" s="373">
        <f>Income!V91+Income!W91+Income!X91+Income!Y91+Income!Z91+Income!AA91+Income!AB91-Expenditure!T242-Expenditure!U242-Expenditure!V242-Expenditure!W242-Expenditure!AA242</f>
        <v>-9388.780000000002</v>
      </c>
      <c r="E35" s="371">
        <f>D35-C35</f>
        <v>-9498.780000000002</v>
      </c>
      <c r="G35" s="378">
        <v>110</v>
      </c>
      <c r="I35" s="497">
        <v>110</v>
      </c>
      <c r="J35" s="378">
        <v>-15400</v>
      </c>
      <c r="K35" s="378">
        <v>-15399</v>
      </c>
    </row>
    <row r="36" spans="1:11" ht="15">
      <c r="A36" s="306">
        <v>9350</v>
      </c>
      <c r="B36" s="277" t="s">
        <v>65</v>
      </c>
      <c r="C36" s="383">
        <f aca="true" t="shared" si="2" ref="C36:C46">A36</f>
        <v>9350</v>
      </c>
      <c r="D36" s="373">
        <f>Income!AC91-Expenditure!X242</f>
        <v>8642.808</v>
      </c>
      <c r="E36" s="371">
        <f>D36-C36</f>
        <v>-707.1919999999991</v>
      </c>
      <c r="G36" s="378">
        <v>9350</v>
      </c>
      <c r="I36" s="498">
        <v>6500</v>
      </c>
      <c r="J36" s="306">
        <v>5200</v>
      </c>
      <c r="K36" s="306">
        <v>5201</v>
      </c>
    </row>
    <row r="37" spans="1:11" ht="15">
      <c r="A37" s="378">
        <v>3370</v>
      </c>
      <c r="B37" s="277" t="s">
        <v>235</v>
      </c>
      <c r="C37" s="383">
        <f t="shared" si="2"/>
        <v>3370</v>
      </c>
      <c r="D37" s="373">
        <f>Income!AG91-Expenditure!AC242</f>
        <v>4241.26</v>
      </c>
      <c r="E37" s="371">
        <f>D37-C37</f>
        <v>871.2600000000002</v>
      </c>
      <c r="G37" s="378">
        <v>3847</v>
      </c>
      <c r="I37" s="497">
        <v>3370</v>
      </c>
      <c r="J37" s="378">
        <v>-2000</v>
      </c>
      <c r="K37" s="378">
        <v>-1999</v>
      </c>
    </row>
    <row r="38" spans="1:12" ht="15">
      <c r="A38" s="306">
        <v>17600</v>
      </c>
      <c r="B38" s="384" t="s">
        <v>64</v>
      </c>
      <c r="C38" s="383">
        <f t="shared" si="2"/>
        <v>17600</v>
      </c>
      <c r="D38" s="373">
        <f>-Expenditure!Y242+Income!AD91</f>
        <v>27815.24</v>
      </c>
      <c r="E38" s="371">
        <f>D38-C38</f>
        <v>10215.240000000002</v>
      </c>
      <c r="G38" s="378">
        <f>18691+4000</f>
        <v>22691</v>
      </c>
      <c r="I38" s="498">
        <v>17600</v>
      </c>
      <c r="J38" s="306">
        <v>3100</v>
      </c>
      <c r="K38" s="306">
        <v>3101</v>
      </c>
      <c r="L38" s="97" t="s">
        <v>512</v>
      </c>
    </row>
    <row r="39" spans="1:11" ht="15.75">
      <c r="A39" s="306"/>
      <c r="B39" s="278" t="s">
        <v>197</v>
      </c>
      <c r="C39" s="383"/>
      <c r="D39" s="373"/>
      <c r="E39" s="371"/>
      <c r="G39" s="378"/>
      <c r="I39" s="498"/>
      <c r="J39" s="306"/>
      <c r="K39" s="306"/>
    </row>
    <row r="40" spans="1:11" ht="15">
      <c r="A40" s="378">
        <v>8130</v>
      </c>
      <c r="B40" s="277" t="s">
        <v>328</v>
      </c>
      <c r="C40" s="383">
        <f t="shared" si="2"/>
        <v>8130</v>
      </c>
      <c r="D40" s="373">
        <f>Income!AF91-Expenditure!AB242</f>
        <v>12821.7</v>
      </c>
      <c r="E40" s="371">
        <f>D40-C40</f>
        <v>4691.700000000001</v>
      </c>
      <c r="G40" s="378">
        <v>12870</v>
      </c>
      <c r="I40" s="497">
        <v>13000</v>
      </c>
      <c r="J40" s="378">
        <v>0</v>
      </c>
      <c r="K40" s="378">
        <v>0</v>
      </c>
    </row>
    <row r="41" spans="1:11" ht="15">
      <c r="A41" s="378">
        <v>-5500</v>
      </c>
      <c r="B41" s="277" t="s">
        <v>65</v>
      </c>
      <c r="C41" s="383">
        <f t="shared" si="2"/>
        <v>-5500</v>
      </c>
      <c r="D41" s="373">
        <f>Income!AI91-Expenditure!AE242-D61</f>
        <v>-4816.049999999999</v>
      </c>
      <c r="E41" s="371">
        <f>D41-C41</f>
        <v>683.9500000000007</v>
      </c>
      <c r="G41" s="378">
        <v>-5500</v>
      </c>
      <c r="I41" s="497">
        <v>-5500</v>
      </c>
      <c r="J41" s="378">
        <v>0</v>
      </c>
      <c r="K41" s="378">
        <v>0</v>
      </c>
    </row>
    <row r="42" spans="1:11" ht="15">
      <c r="A42" s="378">
        <v>-3500</v>
      </c>
      <c r="B42" s="277" t="s">
        <v>64</v>
      </c>
      <c r="C42" s="383">
        <f t="shared" si="2"/>
        <v>-3500</v>
      </c>
      <c r="D42" s="373">
        <f>-Expenditure!AF242+Income!AJ91</f>
        <v>-692.1400000000001</v>
      </c>
      <c r="E42" s="371">
        <f>D42-C42</f>
        <v>2807.8599999999997</v>
      </c>
      <c r="G42" s="378">
        <v>-3500</v>
      </c>
      <c r="I42" s="497">
        <v>-3500</v>
      </c>
      <c r="J42" s="378">
        <v>0</v>
      </c>
      <c r="K42" s="378">
        <v>0</v>
      </c>
    </row>
    <row r="43" spans="1:11" ht="15">
      <c r="A43" s="378">
        <v>-500</v>
      </c>
      <c r="B43" s="277" t="s">
        <v>54</v>
      </c>
      <c r="C43" s="383">
        <f t="shared" si="2"/>
        <v>-500</v>
      </c>
      <c r="D43" s="373">
        <f>Income!AK91-Expenditure!AG242</f>
        <v>0</v>
      </c>
      <c r="E43" s="371">
        <f>D43-C43</f>
        <v>500</v>
      </c>
      <c r="G43" s="378">
        <v>0</v>
      </c>
      <c r="I43" s="497">
        <v>-500</v>
      </c>
      <c r="J43" s="378">
        <v>0</v>
      </c>
      <c r="K43" s="378">
        <v>0</v>
      </c>
    </row>
    <row r="44" spans="1:11" ht="15.75">
      <c r="A44" s="306"/>
      <c r="B44" s="281" t="s">
        <v>145</v>
      </c>
      <c r="C44" s="383"/>
      <c r="D44" s="373"/>
      <c r="E44" s="371"/>
      <c r="G44" s="378"/>
      <c r="I44" s="498"/>
      <c r="J44" s="306"/>
      <c r="K44" s="306"/>
    </row>
    <row r="45" spans="1:12" ht="15">
      <c r="A45" s="306">
        <v>12000</v>
      </c>
      <c r="B45" s="277" t="s">
        <v>146</v>
      </c>
      <c r="C45" s="383">
        <f t="shared" si="2"/>
        <v>12000</v>
      </c>
      <c r="D45" s="373">
        <f>Income!F91</f>
        <v>12000</v>
      </c>
      <c r="E45" s="371">
        <f>D45-C45</f>
        <v>0</v>
      </c>
      <c r="G45" s="378">
        <v>12000</v>
      </c>
      <c r="I45" s="498">
        <v>12000</v>
      </c>
      <c r="J45" s="306">
        <v>12000</v>
      </c>
      <c r="K45" s="306">
        <v>12000</v>
      </c>
      <c r="L45" s="97" t="s">
        <v>413</v>
      </c>
    </row>
    <row r="46" spans="1:12" ht="31.5" customHeight="1">
      <c r="A46" s="306">
        <v>41000</v>
      </c>
      <c r="B46" s="277" t="s">
        <v>190</v>
      </c>
      <c r="C46" s="383">
        <f t="shared" si="2"/>
        <v>41000</v>
      </c>
      <c r="D46" s="373">
        <f>Income!H91</f>
        <v>41000</v>
      </c>
      <c r="E46" s="371">
        <f>D46-C46</f>
        <v>0</v>
      </c>
      <c r="G46" s="378">
        <v>41000</v>
      </c>
      <c r="I46" s="498">
        <v>41000</v>
      </c>
      <c r="J46" s="306">
        <v>0</v>
      </c>
      <c r="K46" s="306">
        <v>0</v>
      </c>
      <c r="L46" s="97" t="s">
        <v>415</v>
      </c>
    </row>
    <row r="47" spans="1:11" ht="30.75" customHeight="1">
      <c r="A47" s="270">
        <f>SUM(A35:A46)</f>
        <v>82060</v>
      </c>
      <c r="B47" s="282" t="s">
        <v>147</v>
      </c>
      <c r="C47" s="569">
        <f>SUM(C35:C46)</f>
        <v>82060</v>
      </c>
      <c r="D47" s="568">
        <f>SUM(D35:D46)</f>
        <v>91624.038</v>
      </c>
      <c r="E47" s="570">
        <f>SUM(E35:E46)</f>
        <v>9564.038</v>
      </c>
      <c r="F47" s="141"/>
      <c r="G47" s="568">
        <f>SUM(G35:G46)</f>
        <v>92868</v>
      </c>
      <c r="I47" s="568">
        <f>SUM(I35:I46)</f>
        <v>84080</v>
      </c>
      <c r="J47" s="274">
        <f>SUM(J35:J46)</f>
        <v>2900</v>
      </c>
      <c r="K47" s="274">
        <f>SUM(K35:K46)</f>
        <v>2904</v>
      </c>
    </row>
    <row r="48" spans="1:11" ht="33" customHeight="1">
      <c r="A48" s="270">
        <f>A31+A47</f>
        <v>0</v>
      </c>
      <c r="B48" s="282" t="s">
        <v>209</v>
      </c>
      <c r="C48" s="385">
        <f>C31+C47</f>
        <v>0</v>
      </c>
      <c r="D48" s="275">
        <f>D31+D47</f>
        <v>24637.01999999999</v>
      </c>
      <c r="E48" s="268">
        <f>E31+E47</f>
        <v>24637.02</v>
      </c>
      <c r="F48" s="141"/>
      <c r="G48" s="274">
        <f>G31+G47</f>
        <v>2011.479999999996</v>
      </c>
      <c r="I48" s="275">
        <f>I47+I31</f>
        <v>660</v>
      </c>
      <c r="J48" s="275">
        <f>J31+J47</f>
        <v>-78000</v>
      </c>
      <c r="K48" s="275">
        <f>K31+K47</f>
        <v>-37996</v>
      </c>
    </row>
    <row r="49" spans="1:5" ht="15">
      <c r="A49" s="97"/>
      <c r="C49" s="97"/>
      <c r="D49" s="97"/>
      <c r="E49" s="97"/>
    </row>
    <row r="50" spans="1:4" ht="15">
      <c r="A50" s="97">
        <v>9</v>
      </c>
      <c r="C50" s="97"/>
      <c r="D50" s="386"/>
    </row>
    <row r="51" spans="1:3" ht="15.75">
      <c r="A51" s="97"/>
      <c r="B51" s="287" t="s">
        <v>231</v>
      </c>
      <c r="C51" s="97"/>
    </row>
    <row r="52" spans="1:4" ht="15">
      <c r="A52" s="97"/>
      <c r="B52" s="178" t="s">
        <v>232</v>
      </c>
      <c r="D52" s="387">
        <v>-24.45</v>
      </c>
    </row>
    <row r="53" spans="1:4" ht="15">
      <c r="A53" s="97"/>
      <c r="B53" s="178" t="s">
        <v>259</v>
      </c>
      <c r="D53" s="387"/>
    </row>
    <row r="54" spans="1:4" ht="15">
      <c r="A54" s="97"/>
      <c r="B54" s="178" t="s">
        <v>412</v>
      </c>
      <c r="D54" s="387">
        <v>18000</v>
      </c>
    </row>
    <row r="55" spans="1:4" ht="15">
      <c r="A55" s="97"/>
      <c r="B55" s="178" t="s">
        <v>254</v>
      </c>
      <c r="D55" s="387"/>
    </row>
    <row r="56" spans="1:4" ht="15">
      <c r="A56" s="97"/>
      <c r="B56" s="178" t="s">
        <v>240</v>
      </c>
      <c r="D56" s="387"/>
    </row>
    <row r="57" spans="1:4" ht="15">
      <c r="A57" s="97"/>
      <c r="B57" s="178" t="s">
        <v>241</v>
      </c>
      <c r="D57" s="387"/>
    </row>
    <row r="58" ht="15">
      <c r="B58" s="178" t="s">
        <v>278</v>
      </c>
    </row>
    <row r="59" ht="15">
      <c r="D59" s="388">
        <f>SUM(D48:D58)</f>
        <v>42612.56999999999</v>
      </c>
    </row>
    <row r="60" ht="15">
      <c r="B60" s="178" t="s">
        <v>320</v>
      </c>
    </row>
    <row r="61" spans="2:4" ht="15">
      <c r="B61" s="178" t="s">
        <v>321</v>
      </c>
      <c r="D61" s="369">
        <f>Income!AI7</f>
        <v>2000</v>
      </c>
    </row>
    <row r="62" spans="2:4" ht="15">
      <c r="B62" s="178" t="s">
        <v>356</v>
      </c>
      <c r="D62" s="369">
        <f>-Expenditure!E37</f>
        <v>-3482.86</v>
      </c>
    </row>
    <row r="63" spans="2:4" ht="15">
      <c r="B63" s="178" t="s">
        <v>514</v>
      </c>
      <c r="D63" s="369">
        <v>-2190</v>
      </c>
    </row>
    <row r="64" ht="15">
      <c r="D64" s="388">
        <f>SUM(D59:D63)</f>
        <v>38939.70999999999</v>
      </c>
    </row>
    <row r="66" spans="2:4" ht="15">
      <c r="B66" s="389" t="s">
        <v>153</v>
      </c>
      <c r="D66" s="369">
        <f>Expenditure!AI246</f>
        <v>43666.11999999994</v>
      </c>
    </row>
    <row r="68" spans="1:4" ht="15.75">
      <c r="A68" s="368">
        <v>10</v>
      </c>
      <c r="B68" s="538" t="s">
        <v>102</v>
      </c>
      <c r="C68" s="96"/>
      <c r="D68" s="409">
        <f>D64-D66</f>
        <v>-4726.409999999945</v>
      </c>
    </row>
    <row r="69" spans="1:6" ht="15.75">
      <c r="A69" s="96"/>
      <c r="B69" s="178" t="s">
        <v>497</v>
      </c>
      <c r="C69" s="97"/>
      <c r="D69" s="211"/>
      <c r="E69" s="97"/>
      <c r="F69" s="350"/>
    </row>
    <row r="70" spans="1:5" ht="15">
      <c r="A70" s="97"/>
      <c r="B70" s="178" t="s">
        <v>498</v>
      </c>
      <c r="C70" s="97"/>
      <c r="D70" s="97">
        <v>-3200</v>
      </c>
      <c r="E70" s="97"/>
    </row>
    <row r="71" ht="15">
      <c r="B71" s="178" t="s">
        <v>160</v>
      </c>
    </row>
    <row r="72" spans="2:4" ht="15">
      <c r="B72" s="178" t="s">
        <v>34</v>
      </c>
      <c r="D72" s="369">
        <v>42</v>
      </c>
    </row>
    <row r="73" spans="2:4" ht="15">
      <c r="B73" s="178" t="s">
        <v>514</v>
      </c>
      <c r="D73" s="369">
        <v>-1500</v>
      </c>
    </row>
    <row r="74" spans="2:4" ht="15">
      <c r="B74" s="178" t="s">
        <v>230</v>
      </c>
      <c r="D74" s="537"/>
    </row>
    <row r="75" ht="15.75">
      <c r="E75" s="233">
        <f>SUM(D70:D74)</f>
        <v>-4658</v>
      </c>
    </row>
  </sheetData>
  <sheetProtection/>
  <mergeCells count="10">
    <mergeCell ref="C6:E6"/>
    <mergeCell ref="G6:G10"/>
    <mergeCell ref="A6:A10"/>
    <mergeCell ref="I6:I10"/>
    <mergeCell ref="B6:B10"/>
    <mergeCell ref="B3:E3"/>
    <mergeCell ref="E7:E10"/>
    <mergeCell ref="C7:C10"/>
    <mergeCell ref="D7:D10"/>
    <mergeCell ref="B4:D4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scale="56" r:id="rId1"/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9" sqref="D19"/>
    </sheetView>
  </sheetViews>
  <sheetFormatPr defaultColWidth="8.88671875" defaultRowHeight="15"/>
  <cols>
    <col min="1" max="1" width="33.6640625" style="0" customWidth="1"/>
    <col min="2" max="2" width="11.3359375" style="105" customWidth="1"/>
    <col min="3" max="3" width="14.99609375" style="105" customWidth="1"/>
    <col min="4" max="4" width="14.4453125" style="0" customWidth="1"/>
    <col min="6" max="6" width="10.21484375" style="0" customWidth="1"/>
    <col min="7" max="7" width="9.88671875" style="0" customWidth="1"/>
  </cols>
  <sheetData>
    <row r="1" ht="15.75">
      <c r="A1" s="96" t="s">
        <v>260</v>
      </c>
    </row>
    <row r="2" spans="1:7" ht="15.75">
      <c r="A2" s="96"/>
      <c r="C2" s="633"/>
      <c r="D2" s="633"/>
      <c r="E2" s="633"/>
      <c r="F2" s="633"/>
      <c r="G2" s="633"/>
    </row>
    <row r="3" spans="1:7" ht="15.75">
      <c r="A3" s="415"/>
      <c r="B3" s="427"/>
      <c r="C3" s="413"/>
      <c r="D3" s="413"/>
      <c r="E3" s="413"/>
      <c r="F3" s="413"/>
      <c r="G3" s="413"/>
    </row>
    <row r="4" spans="1:2" ht="15.75">
      <c r="A4" s="180"/>
      <c r="B4" s="428" t="s">
        <v>207</v>
      </c>
    </row>
    <row r="5" spans="1:2" ht="15">
      <c r="A5" s="180" t="s">
        <v>302</v>
      </c>
      <c r="B5" s="429">
        <v>233</v>
      </c>
    </row>
    <row r="6" spans="1:2" ht="15">
      <c r="A6" s="254"/>
      <c r="B6" s="429"/>
    </row>
    <row r="7" spans="1:2" ht="15">
      <c r="A7" s="254" t="s">
        <v>271</v>
      </c>
      <c r="B7" s="430">
        <v>-30</v>
      </c>
    </row>
    <row r="8" spans="1:2" ht="15">
      <c r="A8" s="180"/>
      <c r="B8" s="429">
        <f>SUM(B5:B7)</f>
        <v>203</v>
      </c>
    </row>
    <row r="9" spans="1:2" ht="15">
      <c r="A9" s="254" t="s">
        <v>303</v>
      </c>
      <c r="B9" s="429">
        <v>-36</v>
      </c>
    </row>
    <row r="10" spans="1:2" ht="15">
      <c r="A10" s="254"/>
      <c r="B10" s="430"/>
    </row>
    <row r="11" spans="1:2" ht="15.75">
      <c r="A11" s="426" t="s">
        <v>265</v>
      </c>
      <c r="B11" s="423">
        <f>SUM(B8:B10)</f>
        <v>167</v>
      </c>
    </row>
    <row r="12" spans="1:2" ht="15.75">
      <c r="A12" s="382"/>
      <c r="B12" s="414"/>
    </row>
    <row r="13" spans="1:4" ht="48" customHeight="1">
      <c r="A13" s="422" t="s">
        <v>261</v>
      </c>
      <c r="B13" s="423" t="s">
        <v>262</v>
      </c>
      <c r="C13" s="424" t="s">
        <v>272</v>
      </c>
      <c r="D13" s="425" t="s">
        <v>263</v>
      </c>
    </row>
    <row r="14" spans="1:4" ht="15.75">
      <c r="A14" s="180"/>
      <c r="B14" s="428" t="s">
        <v>207</v>
      </c>
      <c r="C14" s="418"/>
      <c r="D14" s="205"/>
    </row>
    <row r="15" spans="1:4" ht="30">
      <c r="A15" s="434" t="s">
        <v>270</v>
      </c>
      <c r="B15" s="430">
        <v>-36</v>
      </c>
      <c r="C15" s="435">
        <f>B11/-B15</f>
        <v>4.638888888888889</v>
      </c>
      <c r="D15" s="436" t="s">
        <v>267</v>
      </c>
    </row>
    <row r="16" spans="1:4" ht="15">
      <c r="A16" s="416"/>
      <c r="B16" s="431"/>
      <c r="C16" s="420"/>
      <c r="D16" s="432"/>
    </row>
    <row r="17" spans="1:4" ht="15">
      <c r="A17" s="437" t="s">
        <v>264</v>
      </c>
      <c r="B17" s="430">
        <v>-74</v>
      </c>
      <c r="C17" s="435">
        <f>B11/-B17</f>
        <v>2.2567567567567566</v>
      </c>
      <c r="D17" s="438" t="s">
        <v>268</v>
      </c>
    </row>
    <row r="18" spans="1:4" ht="15">
      <c r="A18" s="416"/>
      <c r="B18" s="429"/>
      <c r="C18" s="420"/>
      <c r="D18" s="432"/>
    </row>
    <row r="19" spans="1:4" ht="30">
      <c r="A19" s="417" t="s">
        <v>266</v>
      </c>
      <c r="B19" s="429">
        <v>-86</v>
      </c>
      <c r="C19" s="419">
        <f>B11/-B19</f>
        <v>1.941860465116279</v>
      </c>
      <c r="D19" s="433" t="s">
        <v>269</v>
      </c>
    </row>
    <row r="20" spans="1:4" ht="15">
      <c r="A20" s="184"/>
      <c r="B20" s="430"/>
      <c r="C20" s="421"/>
      <c r="D20" s="249"/>
    </row>
    <row r="21" ht="15">
      <c r="A21" s="97"/>
    </row>
  </sheetData>
  <sheetProtection/>
  <mergeCells count="1">
    <mergeCell ref="C2:G2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B16" sqref="B16"/>
    </sheetView>
  </sheetViews>
  <sheetFormatPr defaultColWidth="8.88671875" defaultRowHeight="15"/>
  <cols>
    <col min="1" max="1" width="38.10546875" style="0" customWidth="1"/>
    <col min="2" max="2" width="11.3359375" style="64" customWidth="1"/>
    <col min="3" max="3" width="11.10546875" style="64" customWidth="1"/>
    <col min="4" max="4" width="11.77734375" style="439" customWidth="1"/>
    <col min="5" max="5" width="12.10546875" style="0" customWidth="1"/>
    <col min="6" max="6" width="4.77734375" style="0" customWidth="1"/>
    <col min="7" max="7" width="8.6640625" style="0" customWidth="1"/>
    <col min="8" max="8" width="7.10546875" style="0" customWidth="1"/>
    <col min="9" max="9" width="7.4453125" style="0" customWidth="1"/>
    <col min="11" max="11" width="15.6640625" style="0" customWidth="1"/>
  </cols>
  <sheetData>
    <row r="1" ht="15.75">
      <c r="A1" s="2" t="s">
        <v>418</v>
      </c>
    </row>
    <row r="3" ht="15.75">
      <c r="A3" s="2" t="s">
        <v>57</v>
      </c>
    </row>
    <row r="4" spans="1:3" ht="15">
      <c r="A4" s="97" t="s">
        <v>419</v>
      </c>
      <c r="C4" s="64">
        <f>'[2]Balance sheet'!E25</f>
        <v>204284.83000000002</v>
      </c>
    </row>
    <row r="5" ht="15">
      <c r="A5" s="94" t="s">
        <v>87</v>
      </c>
    </row>
    <row r="6" spans="1:3" ht="15">
      <c r="A6" t="s">
        <v>58</v>
      </c>
      <c r="C6" s="64">
        <f>'[2]Expenditure'!AJ259</f>
        <v>150672.5</v>
      </c>
    </row>
    <row r="7" spans="1:4" ht="15">
      <c r="A7" t="s">
        <v>59</v>
      </c>
      <c r="B7" s="443"/>
      <c r="C7" s="443">
        <f>-'[2]Expenditure'!AJ256</f>
        <v>-152987.14</v>
      </c>
      <c r="D7" s="440"/>
    </row>
    <row r="8" spans="1:5" ht="15">
      <c r="A8" t="s">
        <v>420</v>
      </c>
      <c r="D8" s="64">
        <f>B55</f>
        <v>79.19999999999993</v>
      </c>
      <c r="E8" s="440" t="s">
        <v>421</v>
      </c>
    </row>
    <row r="9" spans="1:5" ht="15">
      <c r="A9" s="92" t="s">
        <v>301</v>
      </c>
      <c r="B9" s="84"/>
      <c r="D9" s="84">
        <v>-573.15</v>
      </c>
      <c r="E9" s="440" t="s">
        <v>421</v>
      </c>
    </row>
    <row r="10" spans="1:4" ht="15">
      <c r="A10" s="97" t="s">
        <v>288</v>
      </c>
      <c r="B10" s="84"/>
      <c r="C10" s="84"/>
      <c r="D10" s="440"/>
    </row>
    <row r="11" spans="2:4" ht="15.75" thickBot="1">
      <c r="B11" s="74"/>
      <c r="C11" s="74">
        <f>SUM(C4:C10)</f>
        <v>201970.19</v>
      </c>
      <c r="D11" s="441"/>
    </row>
    <row r="12" ht="16.5" thickTop="1">
      <c r="A12" s="2" t="s">
        <v>293</v>
      </c>
    </row>
    <row r="13" ht="15">
      <c r="A13" s="97" t="s">
        <v>422</v>
      </c>
    </row>
    <row r="14" spans="1:2" ht="15">
      <c r="A14" s="97" t="s">
        <v>423</v>
      </c>
      <c r="B14" s="64">
        <v>9823.11</v>
      </c>
    </row>
    <row r="15" spans="1:2" ht="15">
      <c r="A15" s="97" t="s">
        <v>424</v>
      </c>
      <c r="B15" s="64">
        <v>197063.85</v>
      </c>
    </row>
    <row r="16" spans="1:2" ht="30">
      <c r="A16" s="505" t="s">
        <v>425</v>
      </c>
      <c r="B16" s="443">
        <f>-G48</f>
        <v>-4916.77</v>
      </c>
    </row>
    <row r="17" spans="2:5" ht="15.75" thickBot="1">
      <c r="B17" s="74"/>
      <c r="C17" s="445">
        <f>SUM(B14:B16)</f>
        <v>201970.19000000003</v>
      </c>
      <c r="E17" s="443"/>
    </row>
    <row r="18" spans="3:4" ht="15.75" thickTop="1">
      <c r="C18" s="443">
        <f>C11-C17</f>
        <v>0</v>
      </c>
      <c r="D18" s="444" t="s">
        <v>102</v>
      </c>
    </row>
    <row r="19" spans="1:9" ht="15.75">
      <c r="A19" s="121"/>
      <c r="E19" s="509"/>
      <c r="F19" s="293"/>
      <c r="G19" s="293"/>
      <c r="H19" s="293"/>
      <c r="I19" s="293"/>
    </row>
    <row r="20" spans="2:11" ht="33.75" customHeight="1">
      <c r="B20" s="587" t="s">
        <v>426</v>
      </c>
      <c r="C20" s="588"/>
      <c r="D20" s="588"/>
      <c r="E20" s="589"/>
      <c r="G20" s="457" t="s">
        <v>427</v>
      </c>
      <c r="H20" s="465"/>
      <c r="I20" s="458"/>
      <c r="J20" s="458"/>
      <c r="K20" s="459"/>
    </row>
    <row r="21" spans="2:11" ht="15">
      <c r="B21" s="467"/>
      <c r="C21" s="454"/>
      <c r="D21" s="455"/>
      <c r="E21" s="461"/>
      <c r="G21" s="510" t="s">
        <v>51</v>
      </c>
      <c r="H21" s="382"/>
      <c r="I21" s="511" t="s">
        <v>82</v>
      </c>
      <c r="J21" s="293"/>
      <c r="K21" s="181"/>
    </row>
    <row r="22" spans="2:11" ht="15">
      <c r="B22" s="467"/>
      <c r="C22" s="454"/>
      <c r="D22" s="455"/>
      <c r="E22" s="460"/>
      <c r="G22" s="522">
        <v>210</v>
      </c>
      <c r="H22" s="512" t="s">
        <v>253</v>
      </c>
      <c r="I22" s="513">
        <v>198</v>
      </c>
      <c r="J22" s="514">
        <v>42460</v>
      </c>
      <c r="K22" s="515" t="s">
        <v>329</v>
      </c>
    </row>
    <row r="23" spans="1:11" ht="15">
      <c r="A23" s="97"/>
      <c r="B23" s="466"/>
      <c r="C23" s="454"/>
      <c r="D23" s="455"/>
      <c r="E23" s="460"/>
      <c r="G23" s="522">
        <v>75</v>
      </c>
      <c r="H23" s="512" t="s">
        <v>253</v>
      </c>
      <c r="I23" s="516">
        <v>199</v>
      </c>
      <c r="J23" s="514">
        <v>42460</v>
      </c>
      <c r="K23" s="515" t="s">
        <v>330</v>
      </c>
    </row>
    <row r="24" spans="1:11" ht="15">
      <c r="A24" s="97"/>
      <c r="B24" s="517">
        <v>50</v>
      </c>
      <c r="C24" s="454">
        <v>3842</v>
      </c>
      <c r="D24" s="455">
        <v>42068</v>
      </c>
      <c r="E24" s="460" t="s">
        <v>299</v>
      </c>
      <c r="G24" s="522">
        <v>147.14</v>
      </c>
      <c r="H24" s="512" t="s">
        <v>253</v>
      </c>
      <c r="I24" s="513">
        <v>200</v>
      </c>
      <c r="J24" s="514">
        <v>42460</v>
      </c>
      <c r="K24" s="515" t="s">
        <v>370</v>
      </c>
    </row>
    <row r="25" spans="1:12" ht="15">
      <c r="A25" s="97"/>
      <c r="B25" s="517">
        <v>120</v>
      </c>
      <c r="C25" s="454" t="s">
        <v>221</v>
      </c>
      <c r="D25" s="455">
        <v>42094</v>
      </c>
      <c r="E25" s="460" t="s">
        <v>273</v>
      </c>
      <c r="G25" s="522">
        <v>145.72</v>
      </c>
      <c r="H25" s="512" t="s">
        <v>253</v>
      </c>
      <c r="I25" s="516">
        <v>207</v>
      </c>
      <c r="J25" s="514">
        <v>42460</v>
      </c>
      <c r="K25" s="515" t="s">
        <v>428</v>
      </c>
      <c r="L25" s="486"/>
    </row>
    <row r="26" spans="1:12" ht="15">
      <c r="A26" s="97"/>
      <c r="B26" s="517">
        <v>354</v>
      </c>
      <c r="C26" s="454" t="s">
        <v>221</v>
      </c>
      <c r="D26" s="455">
        <v>42094</v>
      </c>
      <c r="E26" s="460" t="s">
        <v>274</v>
      </c>
      <c r="G26" s="522">
        <v>23.17</v>
      </c>
      <c r="H26" s="512" t="s">
        <v>253</v>
      </c>
      <c r="I26" s="513">
        <v>208</v>
      </c>
      <c r="J26" s="514">
        <v>42460</v>
      </c>
      <c r="K26" s="515" t="s">
        <v>429</v>
      </c>
      <c r="L26" s="486"/>
    </row>
    <row r="27" spans="1:11" ht="15">
      <c r="A27" s="97"/>
      <c r="B27" s="517">
        <v>420</v>
      </c>
      <c r="C27" s="454" t="s">
        <v>221</v>
      </c>
      <c r="D27" s="455">
        <v>42094</v>
      </c>
      <c r="E27" s="460" t="s">
        <v>251</v>
      </c>
      <c r="G27" s="522">
        <v>23.36</v>
      </c>
      <c r="H27" s="512" t="s">
        <v>253</v>
      </c>
      <c r="I27" s="516">
        <v>209</v>
      </c>
      <c r="J27" s="514">
        <v>42460</v>
      </c>
      <c r="K27" s="515" t="s">
        <v>430</v>
      </c>
    </row>
    <row r="28" spans="2:11" ht="15">
      <c r="B28" s="517">
        <v>984</v>
      </c>
      <c r="C28" s="454">
        <v>3832</v>
      </c>
      <c r="D28" s="455">
        <v>42094</v>
      </c>
      <c r="E28" s="460" t="s">
        <v>275</v>
      </c>
      <c r="G28" s="522">
        <v>33.71</v>
      </c>
      <c r="H28" s="512" t="s">
        <v>253</v>
      </c>
      <c r="I28" s="513">
        <v>210</v>
      </c>
      <c r="J28" s="514">
        <v>42460</v>
      </c>
      <c r="K28" s="515" t="s">
        <v>431</v>
      </c>
    </row>
    <row r="29" spans="2:11" ht="15">
      <c r="B29" s="517">
        <v>163.2</v>
      </c>
      <c r="C29" s="454" t="s">
        <v>221</v>
      </c>
      <c r="D29" s="455">
        <v>42094</v>
      </c>
      <c r="E29" s="460" t="s">
        <v>276</v>
      </c>
      <c r="G29" s="522">
        <v>64</v>
      </c>
      <c r="H29" s="512" t="s">
        <v>253</v>
      </c>
      <c r="I29" s="516">
        <v>211</v>
      </c>
      <c r="J29" s="514">
        <v>42460</v>
      </c>
      <c r="K29" s="515" t="s">
        <v>432</v>
      </c>
    </row>
    <row r="30" spans="2:11" ht="15">
      <c r="B30" s="467">
        <v>601.04</v>
      </c>
      <c r="C30" s="454" t="s">
        <v>433</v>
      </c>
      <c r="D30" s="455">
        <v>42094</v>
      </c>
      <c r="E30" s="460" t="s">
        <v>277</v>
      </c>
      <c r="G30" s="522">
        <v>78.4</v>
      </c>
      <c r="H30" s="512" t="s">
        <v>253</v>
      </c>
      <c r="I30" s="513">
        <v>212</v>
      </c>
      <c r="J30" s="514">
        <v>42460</v>
      </c>
      <c r="K30" s="515" t="s">
        <v>434</v>
      </c>
    </row>
    <row r="31" spans="2:11" ht="15">
      <c r="B31" s="517">
        <v>5.72</v>
      </c>
      <c r="C31" s="454" t="s">
        <v>221</v>
      </c>
      <c r="D31" s="455">
        <v>42094</v>
      </c>
      <c r="E31" s="460" t="s">
        <v>279</v>
      </c>
      <c r="G31" s="522">
        <v>19.5</v>
      </c>
      <c r="H31" s="512" t="s">
        <v>253</v>
      </c>
      <c r="I31" s="516">
        <v>213</v>
      </c>
      <c r="J31" s="514">
        <v>42460</v>
      </c>
      <c r="K31" s="515" t="s">
        <v>435</v>
      </c>
    </row>
    <row r="32" spans="2:11" ht="15">
      <c r="B32" s="517">
        <v>110.65</v>
      </c>
      <c r="C32" s="454" t="s">
        <v>221</v>
      </c>
      <c r="D32" s="455">
        <v>42094</v>
      </c>
      <c r="E32" s="460" t="s">
        <v>229</v>
      </c>
      <c r="G32" s="522">
        <v>114</v>
      </c>
      <c r="H32" s="512" t="s">
        <v>253</v>
      </c>
      <c r="I32" s="513">
        <v>214</v>
      </c>
      <c r="J32" s="514">
        <v>42460</v>
      </c>
      <c r="K32" s="515" t="s">
        <v>436</v>
      </c>
    </row>
    <row r="33" spans="2:11" ht="15">
      <c r="B33" s="517">
        <v>79.2</v>
      </c>
      <c r="C33" s="454" t="s">
        <v>221</v>
      </c>
      <c r="D33" s="455">
        <v>42094</v>
      </c>
      <c r="E33" s="460" t="s">
        <v>280</v>
      </c>
      <c r="G33" s="523">
        <v>570.27</v>
      </c>
      <c r="H33" s="512" t="s">
        <v>222</v>
      </c>
      <c r="I33" s="513">
        <v>216</v>
      </c>
      <c r="J33" s="514">
        <v>42464</v>
      </c>
      <c r="K33" s="515" t="s">
        <v>437</v>
      </c>
    </row>
    <row r="34" spans="2:11" ht="15">
      <c r="B34" s="517">
        <v>5.39</v>
      </c>
      <c r="C34" s="454" t="s">
        <v>221</v>
      </c>
      <c r="D34" s="455">
        <v>42094</v>
      </c>
      <c r="E34" s="460" t="s">
        <v>281</v>
      </c>
      <c r="G34" s="523">
        <v>586</v>
      </c>
      <c r="H34" s="512" t="s">
        <v>253</v>
      </c>
      <c r="I34" s="516">
        <v>217</v>
      </c>
      <c r="J34" s="514">
        <v>42460</v>
      </c>
      <c r="K34" s="515" t="s">
        <v>230</v>
      </c>
    </row>
    <row r="35" spans="2:11" ht="15">
      <c r="B35" s="517">
        <v>6.05</v>
      </c>
      <c r="C35" s="454" t="s">
        <v>221</v>
      </c>
      <c r="D35" s="455">
        <v>42094</v>
      </c>
      <c r="E35" s="460" t="s">
        <v>283</v>
      </c>
      <c r="G35" s="523">
        <v>264</v>
      </c>
      <c r="H35" s="512" t="s">
        <v>253</v>
      </c>
      <c r="I35" s="513">
        <v>218</v>
      </c>
      <c r="J35" s="514">
        <v>42445</v>
      </c>
      <c r="K35" s="515" t="s">
        <v>255</v>
      </c>
    </row>
    <row r="36" spans="2:11" ht="15">
      <c r="B36" s="517">
        <v>28.05</v>
      </c>
      <c r="C36" s="454" t="s">
        <v>221</v>
      </c>
      <c r="D36" s="455">
        <v>42094</v>
      </c>
      <c r="E36" s="460" t="s">
        <v>282</v>
      </c>
      <c r="G36" s="523">
        <v>900</v>
      </c>
      <c r="H36" s="512" t="s">
        <v>253</v>
      </c>
      <c r="I36" s="516">
        <v>219</v>
      </c>
      <c r="J36" s="514">
        <v>42460</v>
      </c>
      <c r="K36" s="515" t="s">
        <v>438</v>
      </c>
    </row>
    <row r="37" spans="2:11" ht="15">
      <c r="B37" s="517">
        <v>13.01</v>
      </c>
      <c r="C37" s="454">
        <v>3848</v>
      </c>
      <c r="D37" s="455">
        <v>42094</v>
      </c>
      <c r="E37" s="460" t="s">
        <v>246</v>
      </c>
      <c r="G37" s="523">
        <v>32</v>
      </c>
      <c r="H37" s="512" t="s">
        <v>253</v>
      </c>
      <c r="I37" s="513">
        <v>220</v>
      </c>
      <c r="J37" s="514">
        <v>42442</v>
      </c>
      <c r="K37" s="515" t="s">
        <v>439</v>
      </c>
    </row>
    <row r="38" spans="2:11" ht="15">
      <c r="B38" s="517">
        <v>490</v>
      </c>
      <c r="C38" s="454">
        <v>3849</v>
      </c>
      <c r="D38" s="455">
        <v>42094</v>
      </c>
      <c r="E38" s="460" t="s">
        <v>252</v>
      </c>
      <c r="G38" s="523">
        <v>48.26</v>
      </c>
      <c r="H38" s="512" t="s">
        <v>253</v>
      </c>
      <c r="I38" s="516">
        <v>221</v>
      </c>
      <c r="J38" s="514">
        <v>42461</v>
      </c>
      <c r="K38" s="515" t="s">
        <v>400</v>
      </c>
    </row>
    <row r="39" spans="2:11" ht="15">
      <c r="B39" s="517">
        <v>69.12</v>
      </c>
      <c r="C39" s="454">
        <v>3850</v>
      </c>
      <c r="D39" s="455">
        <v>42094</v>
      </c>
      <c r="E39" s="460" t="s">
        <v>225</v>
      </c>
      <c r="G39" s="523">
        <v>37.9</v>
      </c>
      <c r="H39" s="512" t="s">
        <v>253</v>
      </c>
      <c r="I39" s="513">
        <v>222</v>
      </c>
      <c r="J39" s="514">
        <v>42483</v>
      </c>
      <c r="K39" s="515" t="s">
        <v>440</v>
      </c>
    </row>
    <row r="40" spans="2:11" ht="15">
      <c r="B40" s="517">
        <v>108</v>
      </c>
      <c r="C40" s="454" t="s">
        <v>221</v>
      </c>
      <c r="D40" s="455">
        <v>42094</v>
      </c>
      <c r="E40" s="460" t="s">
        <v>256</v>
      </c>
      <c r="G40" s="523">
        <v>66.16</v>
      </c>
      <c r="H40" s="512" t="s">
        <v>253</v>
      </c>
      <c r="I40" s="516">
        <v>223</v>
      </c>
      <c r="J40" s="514">
        <v>42485</v>
      </c>
      <c r="K40" s="515" t="s">
        <v>441</v>
      </c>
    </row>
    <row r="41" spans="2:11" ht="15">
      <c r="B41" s="517">
        <v>1442.4</v>
      </c>
      <c r="C41" s="454" t="s">
        <v>221</v>
      </c>
      <c r="D41" s="455">
        <v>42094</v>
      </c>
      <c r="E41" s="460" t="s">
        <v>160</v>
      </c>
      <c r="G41" s="523">
        <v>190</v>
      </c>
      <c r="H41" s="512">
        <v>3887</v>
      </c>
      <c r="I41" s="513">
        <v>224</v>
      </c>
      <c r="J41" s="514">
        <v>42462</v>
      </c>
      <c r="K41" s="515" t="s">
        <v>252</v>
      </c>
    </row>
    <row r="42" spans="2:11" ht="15">
      <c r="B42" s="517"/>
      <c r="C42" s="454"/>
      <c r="D42" s="455"/>
      <c r="E42" s="460"/>
      <c r="G42" s="523">
        <v>600</v>
      </c>
      <c r="H42" s="512" t="s">
        <v>253</v>
      </c>
      <c r="I42" s="516">
        <v>225</v>
      </c>
      <c r="J42" s="514">
        <v>42460</v>
      </c>
      <c r="K42" s="515" t="s">
        <v>442</v>
      </c>
    </row>
    <row r="43" spans="2:11" ht="15">
      <c r="B43" s="517">
        <v>620</v>
      </c>
      <c r="C43" s="454" t="s">
        <v>221</v>
      </c>
      <c r="D43" s="455">
        <v>42094</v>
      </c>
      <c r="E43" s="460" t="s">
        <v>284</v>
      </c>
      <c r="G43" s="523">
        <v>356.2</v>
      </c>
      <c r="H43" s="512">
        <v>3890</v>
      </c>
      <c r="I43" s="513">
        <v>226</v>
      </c>
      <c r="J43" s="514">
        <v>42460</v>
      </c>
      <c r="K43" s="515" t="s">
        <v>223</v>
      </c>
    </row>
    <row r="44" spans="2:11" ht="15">
      <c r="B44" s="517">
        <v>3416.55</v>
      </c>
      <c r="C44" s="454" t="s">
        <v>221</v>
      </c>
      <c r="D44" s="455">
        <v>42094</v>
      </c>
      <c r="E44" s="460" t="s">
        <v>285</v>
      </c>
      <c r="G44" s="523">
        <v>331.98</v>
      </c>
      <c r="H44" s="512">
        <v>3891</v>
      </c>
      <c r="I44" s="516">
        <v>227</v>
      </c>
      <c r="J44" s="514">
        <v>42460</v>
      </c>
      <c r="K44" s="515" t="s">
        <v>223</v>
      </c>
    </row>
    <row r="45" spans="2:8" ht="15">
      <c r="B45" s="517">
        <v>264</v>
      </c>
      <c r="C45" s="454" t="s">
        <v>221</v>
      </c>
      <c r="D45" s="455">
        <v>42094</v>
      </c>
      <c r="E45" s="460" t="s">
        <v>255</v>
      </c>
      <c r="G45" s="524" t="s">
        <v>443</v>
      </c>
      <c r="H45" s="518"/>
    </row>
    <row r="46" spans="2:5" ht="15">
      <c r="B46" s="517">
        <v>12</v>
      </c>
      <c r="C46" s="456" t="s">
        <v>221</v>
      </c>
      <c r="D46" s="455">
        <v>42094</v>
      </c>
      <c r="E46" s="460" t="s">
        <v>276</v>
      </c>
    </row>
    <row r="47" spans="2:5" ht="15">
      <c r="B47" s="517">
        <v>588</v>
      </c>
      <c r="C47" s="454" t="s">
        <v>221</v>
      </c>
      <c r="D47" s="455">
        <v>42094</v>
      </c>
      <c r="E47" s="460" t="s">
        <v>286</v>
      </c>
    </row>
    <row r="48" spans="2:7" ht="15.75">
      <c r="B48" s="517">
        <v>610</v>
      </c>
      <c r="C48" s="454" t="s">
        <v>221</v>
      </c>
      <c r="D48" s="455">
        <v>42094</v>
      </c>
      <c r="E48" s="460" t="s">
        <v>230</v>
      </c>
      <c r="G48" s="519">
        <f>SUM(G22:G44)</f>
        <v>4916.77</v>
      </c>
    </row>
    <row r="49" spans="2:5" ht="15">
      <c r="B49" s="517">
        <v>240</v>
      </c>
      <c r="C49" s="454">
        <v>3852</v>
      </c>
      <c r="D49" s="455">
        <v>42094</v>
      </c>
      <c r="E49" s="460" t="s">
        <v>287</v>
      </c>
    </row>
    <row r="50" spans="2:5" ht="15">
      <c r="B50" s="462">
        <f>SUM(B21:B49)</f>
        <v>10800.380000000001</v>
      </c>
      <c r="C50" s="293"/>
      <c r="D50" s="293"/>
      <c r="E50" s="181"/>
    </row>
    <row r="51" spans="2:5" ht="15">
      <c r="B51" s="463"/>
      <c r="C51" s="103"/>
      <c r="D51" s="103"/>
      <c r="E51" s="464"/>
    </row>
    <row r="53" ht="15">
      <c r="B53" s="64">
        <f>B30</f>
        <v>601.04</v>
      </c>
    </row>
    <row r="54" spans="2:3" ht="15">
      <c r="B54" s="520">
        <v>521.84</v>
      </c>
      <c r="C54" s="64" t="s">
        <v>444</v>
      </c>
    </row>
    <row r="55" spans="2:3" ht="15">
      <c r="B55" s="521">
        <f>B53-B54</f>
        <v>79.19999999999993</v>
      </c>
      <c r="C55" s="64" t="s">
        <v>445</v>
      </c>
    </row>
  </sheetData>
  <sheetProtection/>
  <mergeCells count="1">
    <mergeCell ref="B20:E20"/>
  </mergeCells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4" sqref="B14"/>
    </sheetView>
  </sheetViews>
  <sheetFormatPr defaultColWidth="8.88671875" defaultRowHeight="15"/>
  <cols>
    <col min="1" max="1" width="20.4453125" style="0" customWidth="1"/>
    <col min="2" max="2" width="10.99609375" style="82" bestFit="1" customWidth="1"/>
    <col min="3" max="3" width="2.6640625" style="0" customWidth="1"/>
    <col min="5" max="5" width="2.6640625" style="0" customWidth="1"/>
    <col min="6" max="6" width="9.99609375" style="0" bestFit="1" customWidth="1"/>
  </cols>
  <sheetData>
    <row r="1" spans="1:4" ht="15">
      <c r="A1" s="75" t="s">
        <v>101</v>
      </c>
      <c r="B1" s="446"/>
      <c r="C1" s="75"/>
      <c r="D1" s="75"/>
    </row>
    <row r="2" spans="1:4" ht="15">
      <c r="A2" s="75"/>
      <c r="B2" s="446"/>
      <c r="C2" s="75"/>
      <c r="D2" s="75"/>
    </row>
    <row r="3" spans="1:4" ht="15">
      <c r="A3" s="75"/>
      <c r="B3" s="446"/>
      <c r="C3" s="75"/>
      <c r="D3" s="75"/>
    </row>
    <row r="4" ht="15">
      <c r="B4" s="446"/>
    </row>
    <row r="5" ht="15">
      <c r="B5" s="442"/>
    </row>
    <row r="6" spans="2:6" ht="15">
      <c r="B6" s="76">
        <v>2016</v>
      </c>
      <c r="C6" s="76"/>
      <c r="D6" s="76">
        <v>2017</v>
      </c>
      <c r="F6" s="75" t="s">
        <v>102</v>
      </c>
    </row>
    <row r="7" spans="2:6" ht="15">
      <c r="B7" s="447" t="s">
        <v>51</v>
      </c>
      <c r="C7" s="76"/>
      <c r="D7" s="76" t="s">
        <v>51</v>
      </c>
      <c r="F7" s="76" t="s">
        <v>51</v>
      </c>
    </row>
    <row r="8" ht="15">
      <c r="B8" s="442"/>
    </row>
    <row r="9" ht="15">
      <c r="B9" s="442"/>
    </row>
    <row r="10" spans="2:6" ht="15">
      <c r="B10" s="442"/>
      <c r="C10" s="64"/>
      <c r="D10" s="64"/>
      <c r="F10" s="443"/>
    </row>
    <row r="11" spans="1:7" ht="15">
      <c r="A11" t="s">
        <v>93</v>
      </c>
      <c r="B11" s="442"/>
      <c r="C11" s="64"/>
      <c r="D11" s="64"/>
      <c r="F11" s="443">
        <f>D11-B11</f>
        <v>0</v>
      </c>
      <c r="G11" s="97"/>
    </row>
    <row r="12" spans="2:6" ht="15">
      <c r="B12" s="442"/>
      <c r="C12" s="64"/>
      <c r="D12" s="64"/>
      <c r="F12" s="443"/>
    </row>
    <row r="13" spans="1:6" ht="15">
      <c r="A13" t="s">
        <v>14</v>
      </c>
      <c r="B13" s="442">
        <v>317</v>
      </c>
      <c r="C13" s="64"/>
      <c r="D13" s="64">
        <v>242.01</v>
      </c>
      <c r="F13" s="443">
        <f>D13-B13</f>
        <v>-74.99000000000001</v>
      </c>
    </row>
    <row r="14" spans="2:6" ht="15.75" thickBot="1">
      <c r="B14" s="448">
        <f>SUM(B10:B13)</f>
        <v>317</v>
      </c>
      <c r="D14" s="74">
        <f>SUM(D10:D13)</f>
        <v>242.01</v>
      </c>
      <c r="F14" s="449">
        <f>SUM(F10:F13)</f>
        <v>-74.99000000000001</v>
      </c>
    </row>
    <row r="15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2" sqref="D22"/>
    </sheetView>
  </sheetViews>
  <sheetFormatPr defaultColWidth="8.88671875" defaultRowHeight="15"/>
  <cols>
    <col min="1" max="1" width="7.99609375" style="0" customWidth="1"/>
    <col min="3" max="3" width="10.3359375" style="0" customWidth="1"/>
    <col min="4" max="5" width="9.99609375" style="442" customWidth="1"/>
  </cols>
  <sheetData>
    <row r="1" spans="1:8" ht="15.75">
      <c r="A1" s="96" t="s">
        <v>289</v>
      </c>
      <c r="B1" s="75"/>
      <c r="C1" s="75"/>
      <c r="D1" s="446"/>
      <c r="E1" s="446"/>
      <c r="F1" s="75"/>
      <c r="G1" s="75"/>
      <c r="H1" s="75"/>
    </row>
    <row r="2" spans="1:8" ht="15">
      <c r="A2" s="75"/>
      <c r="B2" s="75"/>
      <c r="C2" s="75"/>
      <c r="D2" s="446"/>
      <c r="E2" s="446"/>
      <c r="F2" s="75"/>
      <c r="G2" s="75"/>
      <c r="H2" s="75"/>
    </row>
    <row r="4" spans="1:3" ht="15">
      <c r="A4" s="103" t="s">
        <v>103</v>
      </c>
      <c r="B4" s="103"/>
      <c r="C4" s="103"/>
    </row>
    <row r="6" spans="1:6" ht="15">
      <c r="A6" t="s">
        <v>104</v>
      </c>
      <c r="D6" s="442">
        <v>4724</v>
      </c>
      <c r="F6" s="104"/>
    </row>
    <row r="7" ht="15">
      <c r="F7" s="104"/>
    </row>
    <row r="8" spans="1:6" ht="15">
      <c r="A8" t="s">
        <v>109</v>
      </c>
      <c r="F8" s="104"/>
    </row>
    <row r="9" ht="15">
      <c r="F9" s="104"/>
    </row>
    <row r="10" spans="1:6" ht="15">
      <c r="A10" t="s">
        <v>105</v>
      </c>
      <c r="F10" s="104"/>
    </row>
    <row r="11" spans="1:6" ht="15">
      <c r="A11" t="s">
        <v>192</v>
      </c>
      <c r="C11" s="442">
        <f>ROUND(D6*15%,0)</f>
        <v>709</v>
      </c>
      <c r="F11" s="104"/>
    </row>
    <row r="12" spans="3:6" ht="15">
      <c r="C12" s="442">
        <f>ROUND(D8*15%*7/12,0)</f>
        <v>0</v>
      </c>
      <c r="F12" s="104"/>
    </row>
    <row r="13" spans="3:6" ht="15">
      <c r="C13" s="442">
        <f>ROUND(D9*15%*1/12,0)</f>
        <v>0</v>
      </c>
      <c r="D13" s="450">
        <f>SUM(C11:C13)</f>
        <v>709</v>
      </c>
      <c r="F13" s="104"/>
    </row>
    <row r="14" ht="15">
      <c r="F14" s="104"/>
    </row>
    <row r="15" spans="1:6" ht="15">
      <c r="A15" t="s">
        <v>106</v>
      </c>
      <c r="E15" s="451">
        <f>D6+D8+D9-D13</f>
        <v>4015</v>
      </c>
      <c r="F15" s="104"/>
    </row>
    <row r="16" ht="15">
      <c r="F16" s="104"/>
    </row>
    <row r="17" ht="15">
      <c r="F17" s="104"/>
    </row>
    <row r="18" ht="15">
      <c r="F18" s="104"/>
    </row>
    <row r="19" spans="1:6" ht="15">
      <c r="A19" s="103" t="s">
        <v>107</v>
      </c>
      <c r="B19" s="103"/>
      <c r="C19" s="103"/>
      <c r="F19" s="104"/>
    </row>
    <row r="20" ht="15">
      <c r="F20" s="104"/>
    </row>
    <row r="21" spans="1:6" ht="15">
      <c r="A21" t="s">
        <v>104</v>
      </c>
      <c r="D21" s="442">
        <v>1745</v>
      </c>
      <c r="F21" s="104"/>
    </row>
    <row r="22" ht="15">
      <c r="F22" s="104"/>
    </row>
    <row r="23" spans="1:6" ht="15">
      <c r="A23" t="s">
        <v>76</v>
      </c>
      <c r="D23" s="442">
        <v>0</v>
      </c>
      <c r="F23" s="104"/>
    </row>
    <row r="24" ht="15">
      <c r="F24" s="104"/>
    </row>
    <row r="25" ht="15">
      <c r="A25" t="s">
        <v>108</v>
      </c>
    </row>
    <row r="26" spans="1:6" ht="15">
      <c r="A26" t="s">
        <v>193</v>
      </c>
      <c r="C26" s="451">
        <f>ROUND(D21*0.25,0)</f>
        <v>436</v>
      </c>
      <c r="F26" s="104"/>
    </row>
    <row r="27" spans="3:6" ht="15">
      <c r="C27" s="442">
        <f>+ROUND((D23*15%)*8/12,0)</f>
        <v>0</v>
      </c>
      <c r="D27" s="451"/>
      <c r="F27" s="104"/>
    </row>
    <row r="28" ht="15">
      <c r="F28" s="104"/>
    </row>
    <row r="29" spans="1:6" ht="15">
      <c r="A29" t="s">
        <v>106</v>
      </c>
      <c r="E29" s="442">
        <f>D21-C26</f>
        <v>1309</v>
      </c>
      <c r="F29" s="104"/>
    </row>
    <row r="30" ht="15">
      <c r="F30" s="104"/>
    </row>
    <row r="31" ht="15">
      <c r="F31" s="104"/>
    </row>
    <row r="32" ht="15">
      <c r="F32" s="104"/>
    </row>
    <row r="33" ht="15">
      <c r="F33" s="10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zoomScale="80" zoomScaleNormal="80" zoomScalePageLayoutView="0" workbookViewId="0" topLeftCell="A1">
      <pane xSplit="2" ySplit="5" topLeftCell="E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8.88671875" defaultRowHeight="15"/>
  <cols>
    <col min="1" max="1" width="3.4453125" style="0" customWidth="1"/>
    <col min="2" max="2" width="27.10546875" style="0" customWidth="1"/>
    <col min="3" max="3" width="10.21484375" style="0" customWidth="1"/>
    <col min="4" max="4" width="10.77734375" style="0" customWidth="1"/>
    <col min="5" max="5" width="11.99609375" style="91" bestFit="1" customWidth="1"/>
    <col min="6" max="6" width="10.4453125" style="91" customWidth="1"/>
    <col min="7" max="9" width="8.99609375" style="91" bestFit="1" customWidth="1"/>
    <col min="10" max="10" width="11.5546875" style="91" customWidth="1"/>
    <col min="12" max="12" width="8.99609375" style="0" bestFit="1" customWidth="1"/>
    <col min="13" max="13" width="8.88671875" style="91" customWidth="1"/>
    <col min="14" max="14" width="8.99609375" style="91" bestFit="1" customWidth="1"/>
    <col min="15" max="16" width="10.88671875" style="0" customWidth="1"/>
    <col min="17" max="17" width="8.88671875" style="105" customWidth="1"/>
  </cols>
  <sheetData>
    <row r="2" spans="2:3" ht="15">
      <c r="B2" s="100" t="s">
        <v>559</v>
      </c>
      <c r="C2" s="91"/>
    </row>
    <row r="3" spans="2:10" ht="15">
      <c r="B3" s="91"/>
      <c r="C3" s="91"/>
      <c r="I3" s="590" t="s">
        <v>99</v>
      </c>
      <c r="J3" s="591"/>
    </row>
    <row r="4" spans="2:18" ht="15">
      <c r="B4" s="182"/>
      <c r="C4" s="592" t="s">
        <v>97</v>
      </c>
      <c r="D4" s="591"/>
      <c r="E4" s="590" t="s">
        <v>194</v>
      </c>
      <c r="F4" s="591"/>
      <c r="G4" s="590" t="s">
        <v>98</v>
      </c>
      <c r="H4" s="591"/>
      <c r="I4" s="590" t="s">
        <v>110</v>
      </c>
      <c r="J4" s="591"/>
      <c r="K4" s="593" t="s">
        <v>16</v>
      </c>
      <c r="L4" s="594"/>
      <c r="M4" s="590" t="s">
        <v>66</v>
      </c>
      <c r="N4" s="591"/>
      <c r="O4" s="592" t="s">
        <v>100</v>
      </c>
      <c r="P4" s="590"/>
      <c r="Q4" s="590"/>
      <c r="R4" s="591"/>
    </row>
    <row r="5" spans="1:18" ht="15">
      <c r="A5" s="75" t="s">
        <v>82</v>
      </c>
      <c r="B5" s="182"/>
      <c r="C5" s="187" t="s">
        <v>88</v>
      </c>
      <c r="D5" s="186" t="s">
        <v>89</v>
      </c>
      <c r="E5" s="185" t="s">
        <v>88</v>
      </c>
      <c r="F5" s="186" t="s">
        <v>89</v>
      </c>
      <c r="G5" s="185" t="s">
        <v>88</v>
      </c>
      <c r="H5" s="186" t="s">
        <v>89</v>
      </c>
      <c r="I5" s="185" t="s">
        <v>88</v>
      </c>
      <c r="J5" s="186" t="s">
        <v>89</v>
      </c>
      <c r="K5" s="185" t="s">
        <v>88</v>
      </c>
      <c r="L5" s="186" t="s">
        <v>89</v>
      </c>
      <c r="M5" s="185" t="s">
        <v>88</v>
      </c>
      <c r="N5" s="186" t="s">
        <v>89</v>
      </c>
      <c r="O5" s="185" t="s">
        <v>88</v>
      </c>
      <c r="P5" s="186" t="s">
        <v>89</v>
      </c>
      <c r="Q5" s="106" t="s">
        <v>112</v>
      </c>
      <c r="R5" s="181"/>
    </row>
    <row r="6" spans="1:19" ht="15">
      <c r="A6" s="108">
        <v>1</v>
      </c>
      <c r="B6" s="188" t="s">
        <v>67</v>
      </c>
      <c r="C6" s="189">
        <v>3413</v>
      </c>
      <c r="D6" s="190"/>
      <c r="E6" s="109"/>
      <c r="F6" s="190"/>
      <c r="G6" s="109"/>
      <c r="H6" s="190"/>
      <c r="I6" s="109"/>
      <c r="J6" s="190"/>
      <c r="K6" s="108"/>
      <c r="L6" s="191"/>
      <c r="M6" s="109"/>
      <c r="N6" s="190"/>
      <c r="O6" s="110">
        <f aca="true" t="shared" si="0" ref="O6:P41">M6+K6+I6+G6+E6+C6</f>
        <v>3413</v>
      </c>
      <c r="P6" s="192">
        <f t="shared" si="0"/>
        <v>0</v>
      </c>
      <c r="Q6" s="111">
        <f>O6-P6</f>
        <v>3413</v>
      </c>
      <c r="R6" s="191"/>
      <c r="S6" s="109" t="s">
        <v>67</v>
      </c>
    </row>
    <row r="7" spans="1:19" ht="15">
      <c r="A7" s="112">
        <v>2</v>
      </c>
      <c r="B7" s="193" t="s">
        <v>66</v>
      </c>
      <c r="C7" s="194"/>
      <c r="D7" s="195"/>
      <c r="E7" s="113"/>
      <c r="F7" s="195"/>
      <c r="G7" s="113"/>
      <c r="H7" s="195"/>
      <c r="I7" s="113"/>
      <c r="J7" s="195"/>
      <c r="K7" s="112"/>
      <c r="L7" s="196"/>
      <c r="M7" s="113"/>
      <c r="N7" s="195">
        <v>3413</v>
      </c>
      <c r="O7" s="114">
        <f t="shared" si="0"/>
        <v>0</v>
      </c>
      <c r="P7" s="197">
        <f t="shared" si="0"/>
        <v>3413</v>
      </c>
      <c r="Q7" s="115">
        <f aca="true" t="shared" si="1" ref="Q7:Q42">O7-P7</f>
        <v>-3413</v>
      </c>
      <c r="R7" s="198">
        <f>SUM(Q6:Q7)</f>
        <v>0</v>
      </c>
      <c r="S7" s="113" t="s">
        <v>66</v>
      </c>
    </row>
    <row r="8" spans="1:19" ht="15">
      <c r="A8" s="108">
        <v>3</v>
      </c>
      <c r="B8" s="193" t="s">
        <v>90</v>
      </c>
      <c r="C8" s="194">
        <v>982</v>
      </c>
      <c r="D8" s="195"/>
      <c r="E8" s="113"/>
      <c r="F8" s="195"/>
      <c r="G8" s="113"/>
      <c r="H8" s="195"/>
      <c r="I8" s="113"/>
      <c r="J8" s="195"/>
      <c r="K8" s="112"/>
      <c r="L8" s="196"/>
      <c r="M8" s="113"/>
      <c r="N8" s="195"/>
      <c r="O8" s="114">
        <f t="shared" si="0"/>
        <v>982</v>
      </c>
      <c r="P8" s="197">
        <f t="shared" si="0"/>
        <v>0</v>
      </c>
      <c r="Q8" s="115">
        <f t="shared" si="1"/>
        <v>982</v>
      </c>
      <c r="R8" s="196"/>
      <c r="S8" s="113" t="s">
        <v>90</v>
      </c>
    </row>
    <row r="9" spans="1:19" ht="15">
      <c r="A9" s="112">
        <v>4</v>
      </c>
      <c r="B9" s="193" t="s">
        <v>66</v>
      </c>
      <c r="C9" s="194"/>
      <c r="D9" s="195"/>
      <c r="E9" s="113"/>
      <c r="F9" s="195"/>
      <c r="G9" s="113"/>
      <c r="H9" s="195"/>
      <c r="I9" s="113"/>
      <c r="J9" s="195"/>
      <c r="K9" s="112"/>
      <c r="L9" s="196"/>
      <c r="M9" s="113"/>
      <c r="N9" s="195">
        <v>982</v>
      </c>
      <c r="O9" s="114">
        <f t="shared" si="0"/>
        <v>0</v>
      </c>
      <c r="P9" s="197">
        <f t="shared" si="0"/>
        <v>982</v>
      </c>
      <c r="Q9" s="115">
        <f t="shared" si="1"/>
        <v>-982</v>
      </c>
      <c r="R9" s="198">
        <f>SUM(Q8:Q9)</f>
        <v>0</v>
      </c>
      <c r="S9" s="113" t="s">
        <v>66</v>
      </c>
    </row>
    <row r="10" spans="1:19" ht="15">
      <c r="A10" s="108">
        <v>5</v>
      </c>
      <c r="B10" s="193" t="s">
        <v>91</v>
      </c>
      <c r="C10" s="194"/>
      <c r="D10" s="195"/>
      <c r="E10" s="113"/>
      <c r="F10" s="195"/>
      <c r="G10" s="113"/>
      <c r="H10" s="195"/>
      <c r="I10" s="113"/>
      <c r="J10" s="195"/>
      <c r="K10" s="112"/>
      <c r="L10" s="196"/>
      <c r="M10" s="113"/>
      <c r="N10" s="195"/>
      <c r="O10" s="114">
        <f t="shared" si="0"/>
        <v>0</v>
      </c>
      <c r="P10" s="197">
        <f t="shared" si="0"/>
        <v>0</v>
      </c>
      <c r="Q10" s="115">
        <f t="shared" si="1"/>
        <v>0</v>
      </c>
      <c r="R10" s="196"/>
      <c r="S10" s="113" t="s">
        <v>91</v>
      </c>
    </row>
    <row r="11" spans="1:19" ht="15">
      <c r="A11" s="112">
        <v>6</v>
      </c>
      <c r="B11" s="193" t="s">
        <v>71</v>
      </c>
      <c r="C11" s="194">
        <v>1320</v>
      </c>
      <c r="D11" s="195"/>
      <c r="E11" s="113"/>
      <c r="F11" s="195"/>
      <c r="G11" s="113"/>
      <c r="H11" s="195"/>
      <c r="I11" s="113"/>
      <c r="J11" s="195"/>
      <c r="K11" s="112">
        <f>Stock!C15</f>
        <v>175</v>
      </c>
      <c r="L11" s="195"/>
      <c r="M11" s="113"/>
      <c r="N11" s="195"/>
      <c r="O11" s="114">
        <f t="shared" si="0"/>
        <v>1495</v>
      </c>
      <c r="P11" s="197">
        <f t="shared" si="0"/>
        <v>0</v>
      </c>
      <c r="Q11" s="115">
        <f t="shared" si="1"/>
        <v>1495</v>
      </c>
      <c r="R11" s="196"/>
      <c r="S11" s="113" t="s">
        <v>71</v>
      </c>
    </row>
    <row r="12" spans="1:19" ht="15">
      <c r="A12" s="112">
        <v>8</v>
      </c>
      <c r="B12" s="193" t="s">
        <v>72</v>
      </c>
      <c r="C12" s="194"/>
      <c r="D12" s="195"/>
      <c r="E12" s="113"/>
      <c r="F12" s="195"/>
      <c r="G12" s="113">
        <f>H24+H39+H27</f>
        <v>2313.68</v>
      </c>
      <c r="H12" s="195"/>
      <c r="I12" s="113"/>
      <c r="J12" s="195"/>
      <c r="K12" s="112"/>
      <c r="L12" s="196"/>
      <c r="M12" s="113"/>
      <c r="N12" s="195"/>
      <c r="O12" s="114">
        <f t="shared" si="0"/>
        <v>2313.68</v>
      </c>
      <c r="P12" s="197">
        <f t="shared" si="0"/>
        <v>0</v>
      </c>
      <c r="Q12" s="115">
        <f t="shared" si="1"/>
        <v>2313.68</v>
      </c>
      <c r="R12" s="196"/>
      <c r="S12" s="113" t="s">
        <v>72</v>
      </c>
    </row>
    <row r="13" spans="1:19" ht="15">
      <c r="A13" s="108">
        <v>9</v>
      </c>
      <c r="B13" s="453" t="s">
        <v>291</v>
      </c>
      <c r="C13" s="194"/>
      <c r="D13" s="195"/>
      <c r="E13" s="113"/>
      <c r="F13" s="195">
        <f>Income!AL51+Income!AL39+Income!AL22+Income!AL21</f>
        <v>0</v>
      </c>
      <c r="G13" s="113"/>
      <c r="H13" s="195"/>
      <c r="I13" s="113"/>
      <c r="J13" s="195"/>
      <c r="K13" s="112"/>
      <c r="L13" s="196"/>
      <c r="M13" s="113"/>
      <c r="N13" s="195"/>
      <c r="O13" s="114">
        <f t="shared" si="0"/>
        <v>0</v>
      </c>
      <c r="P13" s="197">
        <f t="shared" si="0"/>
        <v>0</v>
      </c>
      <c r="Q13" s="115">
        <f t="shared" si="1"/>
        <v>0</v>
      </c>
      <c r="R13" s="196"/>
      <c r="S13" s="113" t="str">
        <f>B13</f>
        <v>Natwest reserve</v>
      </c>
    </row>
    <row r="14" spans="1:19" ht="15">
      <c r="A14" s="112">
        <v>10</v>
      </c>
      <c r="B14" s="453" t="s">
        <v>290</v>
      </c>
      <c r="C14" s="194">
        <v>201970</v>
      </c>
      <c r="D14" s="195"/>
      <c r="E14" s="113">
        <f>Expenditure!AI246</f>
        <v>43666.11999999994</v>
      </c>
      <c r="F14" s="195"/>
      <c r="G14" s="113"/>
      <c r="H14" s="195"/>
      <c r="I14" s="113"/>
      <c r="J14" s="195"/>
      <c r="K14" s="112"/>
      <c r="L14" s="196"/>
      <c r="M14" s="113"/>
      <c r="N14" s="195"/>
      <c r="O14" s="114">
        <f t="shared" si="0"/>
        <v>245636.11999999994</v>
      </c>
      <c r="P14" s="197">
        <f t="shared" si="0"/>
        <v>0</v>
      </c>
      <c r="Q14" s="115">
        <f t="shared" si="1"/>
        <v>245636.11999999994</v>
      </c>
      <c r="R14" s="196"/>
      <c r="S14" s="113" t="str">
        <f>B14</f>
        <v>Current Bank Balance</v>
      </c>
    </row>
    <row r="15" spans="1:19" ht="15">
      <c r="A15" s="108">
        <v>11</v>
      </c>
      <c r="B15" s="193" t="s">
        <v>96</v>
      </c>
      <c r="C15" s="194">
        <v>317</v>
      </c>
      <c r="D15" s="195"/>
      <c r="E15" s="113"/>
      <c r="F15" s="195"/>
      <c r="G15" s="113"/>
      <c r="H15" s="195"/>
      <c r="I15" s="113"/>
      <c r="J15" s="195">
        <f>-Imprest!F14</f>
        <v>74.99000000000001</v>
      </c>
      <c r="K15" s="112"/>
      <c r="L15" s="196"/>
      <c r="M15" s="113"/>
      <c r="N15" s="195"/>
      <c r="O15" s="114">
        <f t="shared" si="0"/>
        <v>317</v>
      </c>
      <c r="P15" s="197">
        <f t="shared" si="0"/>
        <v>74.99000000000001</v>
      </c>
      <c r="Q15" s="115">
        <f t="shared" si="1"/>
        <v>242.01</v>
      </c>
      <c r="R15" s="196"/>
      <c r="S15" s="113" t="s">
        <v>96</v>
      </c>
    </row>
    <row r="16" spans="1:19" ht="15">
      <c r="A16" s="112">
        <v>12</v>
      </c>
      <c r="B16" s="193" t="s">
        <v>74</v>
      </c>
      <c r="C16" s="194"/>
      <c r="D16" s="195"/>
      <c r="E16" s="113"/>
      <c r="F16" s="195"/>
      <c r="G16" s="113"/>
      <c r="H16" s="195">
        <f>G30</f>
        <v>2000</v>
      </c>
      <c r="I16" s="113"/>
      <c r="J16" s="195"/>
      <c r="K16" s="112"/>
      <c r="L16" s="196"/>
      <c r="M16" s="113"/>
      <c r="N16" s="195"/>
      <c r="O16" s="114">
        <f t="shared" si="0"/>
        <v>0</v>
      </c>
      <c r="P16" s="197">
        <f t="shared" si="0"/>
        <v>2000</v>
      </c>
      <c r="Q16" s="115">
        <f t="shared" si="1"/>
        <v>-2000</v>
      </c>
      <c r="R16" s="196"/>
      <c r="S16" s="113" t="s">
        <v>74</v>
      </c>
    </row>
    <row r="17" spans="1:19" ht="15">
      <c r="A17" s="108">
        <v>13</v>
      </c>
      <c r="B17" s="193" t="s">
        <v>92</v>
      </c>
      <c r="C17" s="194"/>
      <c r="D17" s="195">
        <v>223295</v>
      </c>
      <c r="E17" s="113"/>
      <c r="F17" s="195"/>
      <c r="G17" s="113"/>
      <c r="H17" s="195"/>
      <c r="I17" s="113"/>
      <c r="J17" s="195"/>
      <c r="K17" s="112"/>
      <c r="L17" s="196"/>
      <c r="M17" s="113"/>
      <c r="N17" s="195"/>
      <c r="O17" s="114">
        <f t="shared" si="0"/>
        <v>0</v>
      </c>
      <c r="P17" s="197">
        <f t="shared" si="0"/>
        <v>223295</v>
      </c>
      <c r="Q17" s="115"/>
      <c r="R17" s="196"/>
      <c r="S17" s="113" t="s">
        <v>92</v>
      </c>
    </row>
    <row r="18" spans="1:19" ht="15">
      <c r="A18" s="112"/>
      <c r="B18" s="193"/>
      <c r="C18" s="194">
        <v>0</v>
      </c>
      <c r="D18" s="195">
        <v>0</v>
      </c>
      <c r="E18" s="113"/>
      <c r="F18" s="195"/>
      <c r="G18" s="113"/>
      <c r="H18" s="195"/>
      <c r="I18" s="113"/>
      <c r="J18" s="195"/>
      <c r="K18" s="112"/>
      <c r="L18" s="196"/>
      <c r="M18" s="113"/>
      <c r="N18" s="195"/>
      <c r="O18" s="114">
        <f t="shared" si="0"/>
        <v>0</v>
      </c>
      <c r="P18" s="197">
        <f t="shared" si="0"/>
        <v>0</v>
      </c>
      <c r="Q18" s="115">
        <f>SUM(Q6:Q17)</f>
        <v>247686.80999999994</v>
      </c>
      <c r="R18" s="196"/>
      <c r="S18" s="113"/>
    </row>
    <row r="19" spans="1:19" ht="15">
      <c r="A19" s="112"/>
      <c r="B19" s="193"/>
      <c r="C19" s="194"/>
      <c r="D19" s="195"/>
      <c r="E19" s="113"/>
      <c r="F19" s="195"/>
      <c r="G19" s="113"/>
      <c r="H19" s="195"/>
      <c r="I19" s="113"/>
      <c r="J19" s="195"/>
      <c r="K19" s="112"/>
      <c r="L19" s="196"/>
      <c r="M19" s="113"/>
      <c r="N19" s="195"/>
      <c r="O19" s="114"/>
      <c r="P19" s="197"/>
      <c r="Q19" s="115"/>
      <c r="R19" s="196"/>
      <c r="S19" s="113"/>
    </row>
    <row r="20" spans="1:19" ht="15">
      <c r="A20" s="112">
        <v>14</v>
      </c>
      <c r="B20" s="193" t="s">
        <v>160</v>
      </c>
      <c r="C20" s="194"/>
      <c r="D20" s="195"/>
      <c r="E20" s="113"/>
      <c r="F20" s="195">
        <f>Income!F91</f>
        <v>12000</v>
      </c>
      <c r="G20" s="113"/>
      <c r="H20" s="195"/>
      <c r="I20" s="113"/>
      <c r="J20" s="195"/>
      <c r="K20" s="112"/>
      <c r="L20" s="196"/>
      <c r="M20" s="113"/>
      <c r="N20" s="195"/>
      <c r="O20" s="114">
        <f aca="true" t="shared" si="2" ref="O20:P22">M20+K20+I20+G20+E20+C20</f>
        <v>0</v>
      </c>
      <c r="P20" s="197">
        <f t="shared" si="2"/>
        <v>12000</v>
      </c>
      <c r="Q20" s="115">
        <f>O20-P20</f>
        <v>-12000</v>
      </c>
      <c r="R20" s="196"/>
      <c r="S20" s="193" t="s">
        <v>160</v>
      </c>
    </row>
    <row r="21" spans="1:19" ht="15">
      <c r="A21" s="112">
        <v>15</v>
      </c>
      <c r="B21" s="193" t="s">
        <v>191</v>
      </c>
      <c r="C21" s="194"/>
      <c r="D21" s="195"/>
      <c r="E21" s="113"/>
      <c r="F21" s="195">
        <f>Income!H91</f>
        <v>41000</v>
      </c>
      <c r="G21" s="113"/>
      <c r="H21" s="195"/>
      <c r="I21" s="113"/>
      <c r="J21" s="195"/>
      <c r="K21" s="112"/>
      <c r="L21" s="196"/>
      <c r="M21" s="113"/>
      <c r="N21" s="195"/>
      <c r="O21" s="114">
        <f t="shared" si="2"/>
        <v>0</v>
      </c>
      <c r="P21" s="197">
        <f t="shared" si="2"/>
        <v>41000</v>
      </c>
      <c r="Q21" s="115">
        <f>O21-P21</f>
        <v>-41000</v>
      </c>
      <c r="R21" s="196"/>
      <c r="S21" s="193" t="str">
        <f>B21</f>
        <v>England Athletics Competition Grant</v>
      </c>
    </row>
    <row r="22" spans="1:19" ht="15">
      <c r="A22" s="112"/>
      <c r="B22" s="453" t="s">
        <v>216</v>
      </c>
      <c r="C22" s="194">
        <v>93</v>
      </c>
      <c r="D22" s="195">
        <v>16</v>
      </c>
      <c r="E22" s="113">
        <f>Expenditure!O242</f>
        <v>16.2</v>
      </c>
      <c r="F22" s="195"/>
      <c r="G22" s="113"/>
      <c r="H22" s="195"/>
      <c r="I22" s="113"/>
      <c r="J22" s="195"/>
      <c r="K22" s="112"/>
      <c r="L22" s="196"/>
      <c r="M22" s="113"/>
      <c r="N22" s="195"/>
      <c r="O22" s="114">
        <f t="shared" si="2"/>
        <v>109.2</v>
      </c>
      <c r="P22" s="197">
        <f t="shared" si="2"/>
        <v>16</v>
      </c>
      <c r="Q22" s="115">
        <f>O22-P22</f>
        <v>93.2</v>
      </c>
      <c r="R22" s="196"/>
      <c r="S22" s="193" t="str">
        <f>B22</f>
        <v>Corporation Tax</v>
      </c>
    </row>
    <row r="23" spans="1:19" ht="15">
      <c r="A23" s="112">
        <v>18</v>
      </c>
      <c r="B23" s="193" t="s">
        <v>161</v>
      </c>
      <c r="C23" s="194"/>
      <c r="D23" s="195"/>
      <c r="E23" s="113"/>
      <c r="F23" s="195">
        <f>Income!T91</f>
        <v>67.96</v>
      </c>
      <c r="G23" s="113"/>
      <c r="H23" s="195"/>
      <c r="I23" s="113"/>
      <c r="J23" s="195">
        <f>I14</f>
        <v>0</v>
      </c>
      <c r="K23" s="112"/>
      <c r="L23" s="196"/>
      <c r="M23" s="113"/>
      <c r="N23" s="195"/>
      <c r="O23" s="114">
        <f t="shared" si="0"/>
        <v>0</v>
      </c>
      <c r="P23" s="197">
        <f t="shared" si="0"/>
        <v>67.96</v>
      </c>
      <c r="Q23" s="115">
        <f t="shared" si="1"/>
        <v>-67.96</v>
      </c>
      <c r="R23" s="196"/>
      <c r="S23" s="193" t="s">
        <v>161</v>
      </c>
    </row>
    <row r="24" spans="1:19" ht="15">
      <c r="A24" s="112">
        <v>19</v>
      </c>
      <c r="B24" s="193" t="s">
        <v>162</v>
      </c>
      <c r="C24" s="194">
        <v>859</v>
      </c>
      <c r="D24" s="195"/>
      <c r="E24" s="113">
        <f>Expenditure!S242+Expenditure!R242</f>
        <v>5781.42</v>
      </c>
      <c r="F24" s="195">
        <f>Income!I91+Income!K91+Income!J91+Income!L91+Income!N91+Income!O91+Income!P91+Income!Q91+Income!R91+Income!S91+Income!U91</f>
        <v>15354.75</v>
      </c>
      <c r="G24" s="113"/>
      <c r="H24" s="195">
        <v>264</v>
      </c>
      <c r="I24" s="113">
        <f>J14</f>
        <v>0</v>
      </c>
      <c r="J24" s="195"/>
      <c r="K24" s="112"/>
      <c r="L24" s="196"/>
      <c r="M24" s="113"/>
      <c r="N24" s="195"/>
      <c r="O24" s="114">
        <f t="shared" si="0"/>
        <v>6640.42</v>
      </c>
      <c r="P24" s="197">
        <f t="shared" si="0"/>
        <v>15618.75</v>
      </c>
      <c r="Q24" s="115">
        <f t="shared" si="1"/>
        <v>-8978.33</v>
      </c>
      <c r="R24" s="196"/>
      <c r="S24" s="193" t="s">
        <v>162</v>
      </c>
    </row>
    <row r="25" spans="1:19" ht="15">
      <c r="A25" s="112">
        <v>21</v>
      </c>
      <c r="B25" s="193" t="s">
        <v>163</v>
      </c>
      <c r="C25" s="194"/>
      <c r="D25" s="195">
        <v>3483</v>
      </c>
      <c r="E25" s="113">
        <f>Expenditure!E242</f>
        <v>42082.54</v>
      </c>
      <c r="F25" s="195"/>
      <c r="G25" s="113"/>
      <c r="H25" s="195"/>
      <c r="I25" s="113"/>
      <c r="J25" s="195"/>
      <c r="K25" s="112"/>
      <c r="L25" s="196"/>
      <c r="M25" s="113"/>
      <c r="N25" s="195"/>
      <c r="O25" s="114">
        <f>M25+K25+I25+G25+E25+C25</f>
        <v>42082.54</v>
      </c>
      <c r="P25" s="197">
        <f>N25+L25+J25+H25+F25+D25</f>
        <v>3483</v>
      </c>
      <c r="Q25" s="115">
        <f>O25-P25</f>
        <v>38599.54</v>
      </c>
      <c r="R25" s="196"/>
      <c r="S25" s="193" t="s">
        <v>163</v>
      </c>
    </row>
    <row r="26" spans="1:19" ht="15">
      <c r="A26" s="112">
        <v>22</v>
      </c>
      <c r="B26" s="193" t="s">
        <v>164</v>
      </c>
      <c r="C26" s="194"/>
      <c r="D26" s="195"/>
      <c r="E26" s="113">
        <f>Expenditure!F242</f>
        <v>9265.59</v>
      </c>
      <c r="F26" s="195"/>
      <c r="G26" s="113"/>
      <c r="H26" s="195"/>
      <c r="I26" s="113"/>
      <c r="J26" s="195"/>
      <c r="K26" s="112"/>
      <c r="L26" s="196"/>
      <c r="M26" s="113"/>
      <c r="N26" s="195"/>
      <c r="O26" s="114">
        <f t="shared" si="0"/>
        <v>9265.59</v>
      </c>
      <c r="P26" s="197">
        <f t="shared" si="0"/>
        <v>0</v>
      </c>
      <c r="Q26" s="115">
        <f t="shared" si="1"/>
        <v>9265.59</v>
      </c>
      <c r="R26" s="196"/>
      <c r="S26" s="193" t="s">
        <v>164</v>
      </c>
    </row>
    <row r="27" spans="1:19" ht="15">
      <c r="A27" s="112">
        <v>23</v>
      </c>
      <c r="B27" s="193" t="s">
        <v>165</v>
      </c>
      <c r="C27" s="194"/>
      <c r="D27" s="195"/>
      <c r="E27" s="113">
        <f>Expenditure!G242+Expenditure!H242+Expenditure!I242+Expenditure!J242+Expenditure!L242+Expenditure!M242+Expenditure!P242</f>
        <v>16329.2</v>
      </c>
      <c r="F27" s="195">
        <f>Income!M91</f>
        <v>494.43</v>
      </c>
      <c r="G27" s="113"/>
      <c r="H27" s="195">
        <f>'Drs &amp; Crs'!C6</f>
        <v>49.68</v>
      </c>
      <c r="I27" s="113">
        <f>-Imprest!F13</f>
        <v>74.99000000000001</v>
      </c>
      <c r="J27" s="195"/>
      <c r="K27" s="112"/>
      <c r="L27" s="196"/>
      <c r="M27" s="113"/>
      <c r="N27" s="195"/>
      <c r="O27" s="114">
        <f t="shared" si="0"/>
        <v>16404.190000000002</v>
      </c>
      <c r="P27" s="197">
        <f t="shared" si="0"/>
        <v>544.11</v>
      </c>
      <c r="Q27" s="115">
        <f t="shared" si="1"/>
        <v>15860.080000000002</v>
      </c>
      <c r="R27" s="196"/>
      <c r="S27" s="193" t="s">
        <v>165</v>
      </c>
    </row>
    <row r="28" spans="1:19" ht="15">
      <c r="A28" s="112">
        <v>24</v>
      </c>
      <c r="B28" s="193" t="s">
        <v>138</v>
      </c>
      <c r="C28" s="194"/>
      <c r="D28" s="195"/>
      <c r="E28" s="113">
        <f>Expenditure!K242</f>
        <v>2645.958</v>
      </c>
      <c r="F28" s="195"/>
      <c r="G28" s="113"/>
      <c r="H28" s="195"/>
      <c r="I28" s="113"/>
      <c r="J28" s="195"/>
      <c r="K28" s="112"/>
      <c r="L28" s="196"/>
      <c r="M28" s="113"/>
      <c r="N28" s="195"/>
      <c r="O28" s="114">
        <f t="shared" si="0"/>
        <v>2645.958</v>
      </c>
      <c r="P28" s="197">
        <f t="shared" si="0"/>
        <v>0</v>
      </c>
      <c r="Q28" s="115">
        <f t="shared" si="1"/>
        <v>2645.958</v>
      </c>
      <c r="R28" s="196"/>
      <c r="S28" s="193" t="s">
        <v>138</v>
      </c>
    </row>
    <row r="29" spans="1:19" ht="15">
      <c r="A29" s="112">
        <v>25</v>
      </c>
      <c r="B29" s="193" t="s">
        <v>94</v>
      </c>
      <c r="C29" s="194"/>
      <c r="D29" s="195"/>
      <c r="E29" s="113">
        <f>Expenditure!Q242</f>
        <v>5564.15</v>
      </c>
      <c r="F29" s="195"/>
      <c r="G29" s="113"/>
      <c r="H29" s="195"/>
      <c r="I29" s="113"/>
      <c r="J29" s="195"/>
      <c r="K29" s="112"/>
      <c r="L29" s="196">
        <f>K11</f>
        <v>175</v>
      </c>
      <c r="M29" s="113"/>
      <c r="N29" s="195"/>
      <c r="O29" s="114">
        <f t="shared" si="0"/>
        <v>5564.15</v>
      </c>
      <c r="P29" s="197">
        <f t="shared" si="0"/>
        <v>175</v>
      </c>
      <c r="Q29" s="115">
        <f>O29-P29</f>
        <v>5389.15</v>
      </c>
      <c r="R29" s="196"/>
      <c r="S29" s="193" t="s">
        <v>94</v>
      </c>
    </row>
    <row r="30" spans="1:19" ht="15">
      <c r="A30" s="112">
        <v>27</v>
      </c>
      <c r="B30" s="193" t="s">
        <v>62</v>
      </c>
      <c r="C30" s="194"/>
      <c r="D30" s="195">
        <v>2160</v>
      </c>
      <c r="E30" s="113">
        <f>Expenditure!N242</f>
        <v>2190</v>
      </c>
      <c r="F30" s="195"/>
      <c r="G30" s="113">
        <f>'Drs &amp; Crs'!C11</f>
        <v>2000</v>
      </c>
      <c r="H30" s="195"/>
      <c r="I30" s="113"/>
      <c r="J30" s="195"/>
      <c r="K30" s="112"/>
      <c r="L30" s="196"/>
      <c r="M30" s="113"/>
      <c r="N30" s="195"/>
      <c r="O30" s="114">
        <f t="shared" si="0"/>
        <v>4190</v>
      </c>
      <c r="P30" s="197">
        <f t="shared" si="0"/>
        <v>2160</v>
      </c>
      <c r="Q30" s="115">
        <f>O30-P30</f>
        <v>2030</v>
      </c>
      <c r="R30" s="196"/>
      <c r="S30" s="193" t="s">
        <v>62</v>
      </c>
    </row>
    <row r="31" spans="1:19" ht="15">
      <c r="A31" s="112">
        <v>36</v>
      </c>
      <c r="B31" s="193" t="s">
        <v>166</v>
      </c>
      <c r="C31" s="194">
        <v>18000</v>
      </c>
      <c r="D31" s="195"/>
      <c r="E31" s="113"/>
      <c r="F31" s="195">
        <f>Income!AL91</f>
        <v>18000</v>
      </c>
      <c r="G31" s="113"/>
      <c r="H31" s="195"/>
      <c r="I31" s="113">
        <f>-Imprest!F11</f>
        <v>0</v>
      </c>
      <c r="J31" s="195"/>
      <c r="K31" s="112"/>
      <c r="L31" s="196"/>
      <c r="M31" s="113"/>
      <c r="N31" s="195"/>
      <c r="O31" s="114">
        <f t="shared" si="0"/>
        <v>18000</v>
      </c>
      <c r="P31" s="197">
        <f t="shared" si="0"/>
        <v>18000</v>
      </c>
      <c r="Q31" s="115">
        <f>O31-P31</f>
        <v>0</v>
      </c>
      <c r="R31" s="196"/>
      <c r="S31" s="193" t="s">
        <v>159</v>
      </c>
    </row>
    <row r="32" spans="1:19" ht="15">
      <c r="A32" s="112"/>
      <c r="B32" s="199" t="s">
        <v>167</v>
      </c>
      <c r="C32" s="194"/>
      <c r="D32" s="195"/>
      <c r="E32" s="113"/>
      <c r="F32" s="195"/>
      <c r="G32" s="113"/>
      <c r="H32" s="195"/>
      <c r="I32" s="113"/>
      <c r="J32" s="195"/>
      <c r="K32" s="112"/>
      <c r="L32" s="196"/>
      <c r="M32" s="113"/>
      <c r="N32" s="195"/>
      <c r="O32" s="114"/>
      <c r="P32" s="197"/>
      <c r="Q32" s="115"/>
      <c r="R32" s="196"/>
      <c r="S32" s="199" t="s">
        <v>167</v>
      </c>
    </row>
    <row r="33" spans="1:19" ht="15">
      <c r="A33" s="112">
        <v>28</v>
      </c>
      <c r="B33" s="193" t="s">
        <v>95</v>
      </c>
      <c r="C33" s="194"/>
      <c r="D33" s="195"/>
      <c r="E33" s="113">
        <f>Expenditure!T242+Expenditure!U242+Expenditure!V242+Expenditure!W242+Expenditure!Z242</f>
        <v>34838.68</v>
      </c>
      <c r="F33" s="195">
        <f>Income!V91+Income!W91+Income!X91+Income!Y91+Income!Z91+Income!AA91+Income!AB91</f>
        <v>25713.899999999998</v>
      </c>
      <c r="G33" s="113"/>
      <c r="H33" s="195"/>
      <c r="I33" s="113"/>
      <c r="J33" s="195"/>
      <c r="K33" s="112"/>
      <c r="L33" s="196"/>
      <c r="M33" s="113"/>
      <c r="N33" s="195"/>
      <c r="O33" s="114">
        <f t="shared" si="0"/>
        <v>34838.68</v>
      </c>
      <c r="P33" s="197">
        <f t="shared" si="0"/>
        <v>25713.899999999998</v>
      </c>
      <c r="Q33" s="115">
        <f t="shared" si="1"/>
        <v>9124.780000000002</v>
      </c>
      <c r="R33" s="196"/>
      <c r="S33" s="193" t="s">
        <v>95</v>
      </c>
    </row>
    <row r="34" spans="1:19" ht="15">
      <c r="A34" s="112">
        <v>29</v>
      </c>
      <c r="B34" s="193" t="s">
        <v>64</v>
      </c>
      <c r="C34" s="194"/>
      <c r="D34" s="195"/>
      <c r="E34" s="113">
        <f>Expenditure!Y242</f>
        <v>4827.06</v>
      </c>
      <c r="F34" s="195">
        <f>Income!AD91</f>
        <v>32642.300000000003</v>
      </c>
      <c r="G34" s="113"/>
      <c r="H34" s="195"/>
      <c r="I34" s="113"/>
      <c r="J34" s="195"/>
      <c r="K34" s="112"/>
      <c r="L34" s="196"/>
      <c r="M34" s="113"/>
      <c r="N34" s="195"/>
      <c r="O34" s="114">
        <f t="shared" si="0"/>
        <v>4827.06</v>
      </c>
      <c r="P34" s="197">
        <f t="shared" si="0"/>
        <v>32642.300000000003</v>
      </c>
      <c r="Q34" s="115">
        <f t="shared" si="1"/>
        <v>-27815.24</v>
      </c>
      <c r="R34" s="196"/>
      <c r="S34" s="193" t="s">
        <v>64</v>
      </c>
    </row>
    <row r="35" spans="1:19" ht="15">
      <c r="A35" s="112">
        <v>30</v>
      </c>
      <c r="B35" s="193" t="s">
        <v>65</v>
      </c>
      <c r="C35" s="194"/>
      <c r="D35" s="195"/>
      <c r="E35" s="113">
        <f>Expenditure!X242+Expenditure!AC242</f>
        <v>14598.982</v>
      </c>
      <c r="F35" s="195">
        <f>Income!AC91+Income!AG91</f>
        <v>27483.050000000003</v>
      </c>
      <c r="G35" s="113"/>
      <c r="H35" s="195"/>
      <c r="I35" s="113"/>
      <c r="J35" s="195"/>
      <c r="K35" s="112"/>
      <c r="L35" s="196"/>
      <c r="M35" s="113"/>
      <c r="N35" s="195"/>
      <c r="O35" s="114">
        <f t="shared" si="0"/>
        <v>14598.982</v>
      </c>
      <c r="P35" s="197">
        <f t="shared" si="0"/>
        <v>27483.050000000003</v>
      </c>
      <c r="Q35" s="115">
        <f t="shared" si="1"/>
        <v>-12884.068000000003</v>
      </c>
      <c r="R35" s="196"/>
      <c r="S35" s="193" t="s">
        <v>65</v>
      </c>
    </row>
    <row r="36" spans="1:19" ht="15">
      <c r="A36" s="112"/>
      <c r="B36" s="199" t="s">
        <v>168</v>
      </c>
      <c r="C36" s="194"/>
      <c r="D36" s="195"/>
      <c r="E36" s="113"/>
      <c r="F36" s="195"/>
      <c r="G36" s="113"/>
      <c r="H36" s="195"/>
      <c r="I36" s="113"/>
      <c r="J36" s="195"/>
      <c r="K36" s="112"/>
      <c r="L36" s="196"/>
      <c r="M36" s="113"/>
      <c r="N36" s="195"/>
      <c r="O36" s="114"/>
      <c r="P36" s="197"/>
      <c r="Q36" s="115"/>
      <c r="R36" s="196"/>
      <c r="S36" s="199" t="s">
        <v>168</v>
      </c>
    </row>
    <row r="37" spans="1:19" ht="15">
      <c r="A37" s="112">
        <v>31</v>
      </c>
      <c r="B37" s="193" t="s">
        <v>7</v>
      </c>
      <c r="C37" s="194"/>
      <c r="D37" s="195"/>
      <c r="E37" s="113">
        <f>Expenditure!AB242+Expenditure!AD242+Expenditure!AA242</f>
        <v>6457</v>
      </c>
      <c r="F37" s="195">
        <f>Income!AF91+Income!AH91+Income!AL9</f>
        <v>19014.7</v>
      </c>
      <c r="G37" s="113"/>
      <c r="H37" s="195"/>
      <c r="I37" s="113"/>
      <c r="J37" s="195"/>
      <c r="K37" s="112"/>
      <c r="L37" s="196"/>
      <c r="M37" s="113"/>
      <c r="N37" s="195"/>
      <c r="O37" s="114">
        <f t="shared" si="0"/>
        <v>6457</v>
      </c>
      <c r="P37" s="197">
        <f t="shared" si="0"/>
        <v>19014.7</v>
      </c>
      <c r="Q37" s="115">
        <f t="shared" si="1"/>
        <v>-12557.7</v>
      </c>
      <c r="R37" s="196"/>
      <c r="S37" s="193" t="s">
        <v>7</v>
      </c>
    </row>
    <row r="38" spans="1:19" ht="15">
      <c r="A38" s="112">
        <v>32</v>
      </c>
      <c r="B38" s="193" t="s">
        <v>64</v>
      </c>
      <c r="C38" s="194"/>
      <c r="D38" s="195"/>
      <c r="E38" s="113">
        <f>Expenditure!AF242</f>
        <v>692.1400000000001</v>
      </c>
      <c r="F38" s="195">
        <f>Income!AJ91</f>
        <v>0</v>
      </c>
      <c r="G38" s="113"/>
      <c r="H38" s="195"/>
      <c r="I38" s="113"/>
      <c r="J38" s="195"/>
      <c r="K38" s="112"/>
      <c r="L38" s="196"/>
      <c r="M38" s="113"/>
      <c r="N38" s="195"/>
      <c r="O38" s="114">
        <f t="shared" si="0"/>
        <v>692.1400000000001</v>
      </c>
      <c r="P38" s="197">
        <f t="shared" si="0"/>
        <v>0</v>
      </c>
      <c r="Q38" s="115">
        <f t="shared" si="1"/>
        <v>692.1400000000001</v>
      </c>
      <c r="R38" s="196"/>
      <c r="S38" s="193" t="s">
        <v>64</v>
      </c>
    </row>
    <row r="39" spans="1:19" ht="15">
      <c r="A39" s="112">
        <v>33</v>
      </c>
      <c r="B39" s="193" t="s">
        <v>65</v>
      </c>
      <c r="C39" s="194">
        <v>2000</v>
      </c>
      <c r="D39" s="195"/>
      <c r="E39" s="113">
        <f>Expenditure!AE242</f>
        <v>4816.049999999999</v>
      </c>
      <c r="F39" s="195">
        <f>Income!AI91</f>
        <v>2000</v>
      </c>
      <c r="G39" s="113"/>
      <c r="H39" s="195">
        <v>2000</v>
      </c>
      <c r="I39" s="113"/>
      <c r="J39" s="195"/>
      <c r="K39" s="112"/>
      <c r="L39" s="196"/>
      <c r="M39" s="113"/>
      <c r="N39" s="195"/>
      <c r="O39" s="114">
        <f t="shared" si="0"/>
        <v>6816.049999999999</v>
      </c>
      <c r="P39" s="197">
        <f t="shared" si="0"/>
        <v>4000</v>
      </c>
      <c r="Q39" s="115">
        <f t="shared" si="1"/>
        <v>2816.0499999999993</v>
      </c>
      <c r="R39" s="196"/>
      <c r="S39" s="193" t="s">
        <v>65</v>
      </c>
    </row>
    <row r="40" spans="1:19" ht="15">
      <c r="A40" s="112">
        <v>34</v>
      </c>
      <c r="B40" s="193" t="s">
        <v>54</v>
      </c>
      <c r="C40" s="194"/>
      <c r="D40" s="195"/>
      <c r="E40" s="113">
        <f>Expenditure!AG242</f>
        <v>0</v>
      </c>
      <c r="F40" s="195">
        <f>Income!AK91</f>
        <v>0</v>
      </c>
      <c r="G40" s="113"/>
      <c r="H40" s="195"/>
      <c r="I40" s="113"/>
      <c r="J40" s="195"/>
      <c r="K40" s="112"/>
      <c r="L40" s="196"/>
      <c r="M40" s="113"/>
      <c r="N40" s="195"/>
      <c r="O40" s="114">
        <f t="shared" si="0"/>
        <v>0</v>
      </c>
      <c r="P40" s="197">
        <f t="shared" si="0"/>
        <v>0</v>
      </c>
      <c r="Q40" s="115">
        <f t="shared" si="1"/>
        <v>0</v>
      </c>
      <c r="R40" s="196"/>
      <c r="S40" s="193" t="s">
        <v>54</v>
      </c>
    </row>
    <row r="41" spans="1:19" ht="15">
      <c r="A41" s="112">
        <v>35</v>
      </c>
      <c r="B41" s="200" t="s">
        <v>66</v>
      </c>
      <c r="C41" s="201"/>
      <c r="D41" s="202"/>
      <c r="E41" s="117"/>
      <c r="F41" s="202"/>
      <c r="G41" s="117"/>
      <c r="H41" s="202"/>
      <c r="I41" s="117"/>
      <c r="J41" s="202"/>
      <c r="K41" s="116"/>
      <c r="L41" s="203"/>
      <c r="M41" s="117">
        <f>N7+N9</f>
        <v>4395</v>
      </c>
      <c r="N41" s="202"/>
      <c r="O41" s="118">
        <f t="shared" si="0"/>
        <v>4395</v>
      </c>
      <c r="P41" s="204">
        <f t="shared" si="0"/>
        <v>0</v>
      </c>
      <c r="Q41" s="119">
        <f t="shared" si="1"/>
        <v>4395</v>
      </c>
      <c r="R41" s="181"/>
      <c r="S41" s="200" t="s">
        <v>66</v>
      </c>
    </row>
    <row r="42" spans="2:18" ht="15.75" thickBot="1">
      <c r="B42" s="205"/>
      <c r="C42" s="206">
        <f aca="true" t="shared" si="3" ref="C42:P42">SUM(C6:C41)</f>
        <v>228954</v>
      </c>
      <c r="D42" s="207">
        <f t="shared" si="3"/>
        <v>228954</v>
      </c>
      <c r="E42" s="101">
        <f t="shared" si="3"/>
        <v>193771.0899999999</v>
      </c>
      <c r="F42" s="207">
        <f t="shared" si="3"/>
        <v>193771.08999999997</v>
      </c>
      <c r="G42" s="101">
        <f t="shared" si="3"/>
        <v>4313.68</v>
      </c>
      <c r="H42" s="207">
        <f t="shared" si="3"/>
        <v>4313.68</v>
      </c>
      <c r="I42" s="101">
        <f t="shared" si="3"/>
        <v>74.99000000000001</v>
      </c>
      <c r="J42" s="207">
        <f t="shared" si="3"/>
        <v>74.99000000000001</v>
      </c>
      <c r="K42" s="101">
        <f t="shared" si="3"/>
        <v>175</v>
      </c>
      <c r="L42" s="207">
        <f t="shared" si="3"/>
        <v>175</v>
      </c>
      <c r="M42" s="101">
        <f t="shared" si="3"/>
        <v>4395</v>
      </c>
      <c r="N42" s="207">
        <f t="shared" si="3"/>
        <v>4395</v>
      </c>
      <c r="O42" s="102">
        <f t="shared" si="3"/>
        <v>431683.76</v>
      </c>
      <c r="P42" s="208">
        <f t="shared" si="3"/>
        <v>431683.76</v>
      </c>
      <c r="Q42" s="107">
        <f t="shared" si="1"/>
        <v>0</v>
      </c>
      <c r="R42" s="209">
        <f>SUM(Q20:Q41)</f>
        <v>-24391.810000000005</v>
      </c>
    </row>
    <row r="43" ht="15.75" thickTop="1"/>
  </sheetData>
  <sheetProtection/>
  <mergeCells count="8">
    <mergeCell ref="M4:N4"/>
    <mergeCell ref="O4:R4"/>
    <mergeCell ref="C4:D4"/>
    <mergeCell ref="I4:J4"/>
    <mergeCell ref="I3:J3"/>
    <mergeCell ref="E4:F4"/>
    <mergeCell ref="G4:H4"/>
    <mergeCell ref="K4:L4"/>
  </mergeCells>
  <printOptions/>
  <pageMargins left="0.4330708661417323" right="0.03937007874015748" top="0.7480314960629921" bottom="0.7480314960629921" header="0.31496062992125984" footer="0.31496062992125984"/>
  <pageSetup fitToHeight="1" fitToWidth="1"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2">
      <selection activeCell="C12" sqref="C12"/>
    </sheetView>
  </sheetViews>
  <sheetFormatPr defaultColWidth="8.88671875" defaultRowHeight="15"/>
  <cols>
    <col min="1" max="1" width="3.77734375" style="0" customWidth="1"/>
    <col min="2" max="2" width="57.21484375" style="0" customWidth="1"/>
    <col min="3" max="3" width="8.99609375" style="302" bestFit="1" customWidth="1"/>
    <col min="5" max="5" width="8.88671875" style="83" customWidth="1"/>
  </cols>
  <sheetData>
    <row r="1" ht="15.75">
      <c r="A1" s="96" t="s">
        <v>533</v>
      </c>
    </row>
    <row r="2" spans="3:4" ht="15.75">
      <c r="C2" s="572" t="s">
        <v>51</v>
      </c>
      <c r="D2" s="572" t="s">
        <v>51</v>
      </c>
    </row>
    <row r="3" ht="15.75">
      <c r="A3" s="96" t="s">
        <v>534</v>
      </c>
    </row>
    <row r="4" spans="2:3" ht="15">
      <c r="B4" s="97" t="s">
        <v>535</v>
      </c>
      <c r="C4" s="302">
        <v>264</v>
      </c>
    </row>
    <row r="5" spans="2:3" ht="15">
      <c r="B5" s="97" t="s">
        <v>536</v>
      </c>
      <c r="C5" s="302">
        <v>2000</v>
      </c>
    </row>
    <row r="6" spans="2:3" ht="15">
      <c r="B6" t="s">
        <v>569</v>
      </c>
      <c r="C6" s="302">
        <v>49.68</v>
      </c>
    </row>
    <row r="8" ht="15">
      <c r="C8" s="584">
        <f>SUM(C4:C7)</f>
        <v>2313.68</v>
      </c>
    </row>
    <row r="10" ht="15.75">
      <c r="A10" s="96" t="s">
        <v>540</v>
      </c>
    </row>
    <row r="11" spans="2:3" ht="15">
      <c r="B11" t="s">
        <v>111</v>
      </c>
      <c r="C11" s="302">
        <v>2000</v>
      </c>
    </row>
    <row r="19" ht="15.75">
      <c r="A19" s="96" t="s">
        <v>517</v>
      </c>
    </row>
    <row r="20" spans="2:5" ht="15">
      <c r="B20" t="s">
        <v>518</v>
      </c>
      <c r="C20" s="302">
        <v>859</v>
      </c>
      <c r="E20" s="83">
        <v>14</v>
      </c>
    </row>
    <row r="21" spans="2:5" ht="15">
      <c r="B21" t="s">
        <v>519</v>
      </c>
      <c r="C21" s="302">
        <v>2000</v>
      </c>
      <c r="E21" s="83">
        <v>31</v>
      </c>
    </row>
    <row r="22" spans="2:3" ht="15">
      <c r="B22" t="s">
        <v>520</v>
      </c>
      <c r="C22" s="302">
        <v>93</v>
      </c>
    </row>
    <row r="23" spans="2:3" ht="15">
      <c r="B23" s="97" t="s">
        <v>159</v>
      </c>
      <c r="C23" s="302">
        <v>18000</v>
      </c>
    </row>
    <row r="24" ht="15.75">
      <c r="C24" s="540">
        <f>SUM(C20:C23)</f>
        <v>20952</v>
      </c>
    </row>
    <row r="25" ht="15.75">
      <c r="A25" s="96" t="s">
        <v>521</v>
      </c>
    </row>
    <row r="26" spans="2:5" ht="15">
      <c r="B26" t="s">
        <v>111</v>
      </c>
      <c r="C26" s="302">
        <v>2160</v>
      </c>
      <c r="E26" s="83">
        <v>27</v>
      </c>
    </row>
    <row r="27" spans="2:5" ht="15" customHeight="1">
      <c r="B27" t="s">
        <v>522</v>
      </c>
      <c r="C27" s="302">
        <v>3483</v>
      </c>
      <c r="E27" s="83">
        <v>29</v>
      </c>
    </row>
    <row r="28" spans="2:5" ht="15">
      <c r="B28" t="s">
        <v>216</v>
      </c>
      <c r="C28" s="302">
        <f>0.2*81.03</f>
        <v>16.206</v>
      </c>
      <c r="E28" s="83">
        <v>23</v>
      </c>
    </row>
    <row r="29" spans="5:6" ht="15">
      <c r="E29" s="83">
        <v>23</v>
      </c>
      <c r="F29" t="s">
        <v>300</v>
      </c>
    </row>
    <row r="30" spans="3:5" ht="15.75">
      <c r="C30" s="540">
        <f>SUM(C26:C28)</f>
        <v>5659.206</v>
      </c>
      <c r="E30" s="83">
        <v>33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3" sqref="A3:E40"/>
    </sheetView>
  </sheetViews>
  <sheetFormatPr defaultColWidth="8.88671875" defaultRowHeight="15"/>
  <cols>
    <col min="1" max="1" width="34.4453125" style="0" customWidth="1"/>
    <col min="2" max="2" width="11.99609375" style="0" customWidth="1"/>
    <col min="3" max="3" width="10.5546875" style="0" customWidth="1"/>
    <col min="4" max="5" width="9.77734375" style="0" customWidth="1"/>
    <col min="6" max="6" width="9.88671875" style="105" bestFit="1" customWidth="1"/>
    <col min="7" max="7" width="9.6640625" style="105" customWidth="1"/>
    <col min="8" max="8" width="8.88671875" style="210" customWidth="1"/>
  </cols>
  <sheetData>
    <row r="1" spans="1:7" ht="15.75">
      <c r="A1" s="595" t="s">
        <v>169</v>
      </c>
      <c r="B1" s="595"/>
      <c r="C1" s="595"/>
      <c r="D1" s="595"/>
      <c r="E1" s="595"/>
      <c r="F1" s="595"/>
      <c r="G1" s="595"/>
    </row>
    <row r="2" spans="1:7" ht="15">
      <c r="A2" s="97"/>
      <c r="B2" s="97"/>
      <c r="C2" s="97"/>
      <c r="D2" s="97"/>
      <c r="E2" s="97"/>
      <c r="F2" s="211"/>
      <c r="G2" s="211"/>
    </row>
    <row r="3" spans="1:12" ht="15.75">
      <c r="A3" s="121" t="s">
        <v>579</v>
      </c>
      <c r="B3" s="121"/>
      <c r="C3" s="121"/>
      <c r="D3" s="121"/>
      <c r="E3" s="121"/>
      <c r="F3" s="121"/>
      <c r="G3" s="121"/>
      <c r="H3" s="212"/>
      <c r="I3" s="212"/>
      <c r="J3" s="213"/>
      <c r="K3" s="213"/>
      <c r="L3" s="213"/>
    </row>
    <row r="5" spans="1:5" ht="15.75">
      <c r="A5" s="214"/>
      <c r="B5" s="596">
        <v>2017</v>
      </c>
      <c r="C5" s="597"/>
      <c r="D5" s="596">
        <v>2016</v>
      </c>
      <c r="E5" s="597"/>
    </row>
    <row r="6" spans="1:5" ht="18.75" customHeight="1">
      <c r="A6" s="215"/>
      <c r="B6" s="216" t="s">
        <v>51</v>
      </c>
      <c r="C6" s="217" t="s">
        <v>51</v>
      </c>
      <c r="D6" s="228" t="s">
        <v>51</v>
      </c>
      <c r="E6" s="217" t="s">
        <v>51</v>
      </c>
    </row>
    <row r="7" spans="1:5" ht="15.75">
      <c r="A7" s="218" t="s">
        <v>140</v>
      </c>
      <c r="B7" s="219"/>
      <c r="C7" s="220"/>
      <c r="D7" s="219"/>
      <c r="E7" s="220"/>
    </row>
    <row r="8" spans="1:5" ht="15">
      <c r="A8" s="205" t="s">
        <v>170</v>
      </c>
      <c r="B8" s="221"/>
      <c r="C8" s="222"/>
      <c r="D8" s="221"/>
      <c r="E8" s="222"/>
    </row>
    <row r="9" spans="1:5" ht="15">
      <c r="A9" s="205" t="s">
        <v>171</v>
      </c>
      <c r="B9" s="221">
        <f>-'Trial Balance'!Q20</f>
        <v>12000</v>
      </c>
      <c r="C9" s="222"/>
      <c r="D9" s="221">
        <v>12000</v>
      </c>
      <c r="E9" s="222"/>
    </row>
    <row r="10" spans="1:5" ht="15">
      <c r="A10" s="205" t="s">
        <v>191</v>
      </c>
      <c r="B10" s="221">
        <f>-'Trial Balance'!Q21</f>
        <v>41000</v>
      </c>
      <c r="C10" s="222"/>
      <c r="D10" s="221">
        <v>37000</v>
      </c>
      <c r="E10" s="222"/>
    </row>
    <row r="11" spans="1:5" ht="15">
      <c r="A11" s="205" t="s">
        <v>172</v>
      </c>
      <c r="B11" s="221">
        <f>-'Trial Balance'!Q23</f>
        <v>67.96</v>
      </c>
      <c r="C11" s="222"/>
      <c r="D11" s="221">
        <v>81</v>
      </c>
      <c r="E11" s="222"/>
    </row>
    <row r="12" spans="1:5" ht="15">
      <c r="A12" s="205" t="s">
        <v>162</v>
      </c>
      <c r="B12" s="223">
        <f>-'Trial Balance'!Q24</f>
        <v>8978.33</v>
      </c>
      <c r="C12" s="222"/>
      <c r="D12" s="223">
        <v>9074</v>
      </c>
      <c r="E12" s="222"/>
    </row>
    <row r="13" spans="1:5" ht="16.5" thickBot="1">
      <c r="A13" s="224" t="s">
        <v>173</v>
      </c>
      <c r="B13" s="221"/>
      <c r="C13" s="225">
        <f>SUM(B8:B12)</f>
        <v>62046.29</v>
      </c>
      <c r="D13" s="221"/>
      <c r="E13" s="225">
        <f>SUM(D9:D12)</f>
        <v>58155</v>
      </c>
    </row>
    <row r="14" spans="1:5" ht="16.5" thickTop="1">
      <c r="A14" s="218" t="s">
        <v>136</v>
      </c>
      <c r="B14" s="221"/>
      <c r="C14" s="222"/>
      <c r="D14" s="221"/>
      <c r="E14" s="222"/>
    </row>
    <row r="15" spans="1:5" ht="15">
      <c r="A15" s="215" t="s">
        <v>174</v>
      </c>
      <c r="B15" s="221">
        <f>'Trial Balance'!Q25</f>
        <v>38599.54</v>
      </c>
      <c r="C15" s="222"/>
      <c r="D15" s="221">
        <v>39319</v>
      </c>
      <c r="E15" s="222"/>
    </row>
    <row r="16" spans="1:5" ht="15">
      <c r="A16" s="215" t="s">
        <v>164</v>
      </c>
      <c r="B16" s="221">
        <f>'Trial Balance'!Q26</f>
        <v>9265.59</v>
      </c>
      <c r="C16" s="222"/>
      <c r="D16" s="221">
        <v>9259</v>
      </c>
      <c r="E16" s="222"/>
    </row>
    <row r="17" spans="1:5" ht="15">
      <c r="A17" s="205" t="s">
        <v>165</v>
      </c>
      <c r="B17" s="221">
        <f>'Trial Balance'!Q27</f>
        <v>15860.080000000002</v>
      </c>
      <c r="C17" s="222"/>
      <c r="D17" s="221">
        <v>22031</v>
      </c>
      <c r="E17" s="222"/>
    </row>
    <row r="18" spans="1:5" ht="15">
      <c r="A18" s="205" t="s">
        <v>138</v>
      </c>
      <c r="B18" s="221">
        <f>'Trial Balance'!Q28</f>
        <v>2645.958</v>
      </c>
      <c r="C18" s="222"/>
      <c r="D18" s="221">
        <v>3587</v>
      </c>
      <c r="E18" s="222"/>
    </row>
    <row r="19" spans="1:5" ht="15">
      <c r="A19" s="205" t="s">
        <v>61</v>
      </c>
      <c r="B19" s="221">
        <f>'Trial Balance'!Q29</f>
        <v>5389.15</v>
      </c>
      <c r="C19" s="222"/>
      <c r="D19" s="221">
        <v>4752</v>
      </c>
      <c r="E19" s="222"/>
    </row>
    <row r="20" spans="1:5" ht="15">
      <c r="A20" s="205" t="s">
        <v>292</v>
      </c>
      <c r="B20" s="221">
        <f>'Trial Balance'!Q22</f>
        <v>93.2</v>
      </c>
      <c r="C20" s="222"/>
      <c r="D20" s="221">
        <v>17</v>
      </c>
      <c r="E20" s="222"/>
    </row>
    <row r="21" spans="1:5" ht="15">
      <c r="A21" s="205" t="s">
        <v>93</v>
      </c>
      <c r="B21" s="221"/>
      <c r="C21" s="222"/>
      <c r="D21" s="221">
        <v>6895</v>
      </c>
      <c r="E21" s="222"/>
    </row>
    <row r="22" spans="1:5" ht="15">
      <c r="A22" s="205" t="s">
        <v>561</v>
      </c>
      <c r="B22" s="223">
        <f>'Trial Balance'!Q30</f>
        <v>2030</v>
      </c>
      <c r="C22" s="222"/>
      <c r="D22" s="223">
        <v>2320</v>
      </c>
      <c r="E22" s="222"/>
    </row>
    <row r="23" spans="1:5" ht="15">
      <c r="A23" s="205"/>
      <c r="B23" s="221"/>
      <c r="C23" s="222">
        <f>SUM(B15:B22)+0.5</f>
        <v>73884.018</v>
      </c>
      <c r="D23" s="221"/>
      <c r="E23" s="222">
        <f>SUM(D15:D22)</f>
        <v>88180</v>
      </c>
    </row>
    <row r="24" spans="1:5" ht="15">
      <c r="A24" s="215" t="s">
        <v>175</v>
      </c>
      <c r="B24" s="221"/>
      <c r="C24" s="222"/>
      <c r="E24" s="222"/>
    </row>
    <row r="25" spans="1:5" ht="15">
      <c r="A25" s="205" t="s">
        <v>63</v>
      </c>
      <c r="B25" s="221">
        <f>'Trial Balance'!Q33</f>
        <v>9124.780000000002</v>
      </c>
      <c r="C25" s="222"/>
      <c r="D25" s="221">
        <v>2703</v>
      </c>
      <c r="E25" s="222"/>
    </row>
    <row r="26" spans="1:5" ht="15">
      <c r="A26" s="205" t="s">
        <v>64</v>
      </c>
      <c r="B26" s="221">
        <f>'Trial Balance'!Q34</f>
        <v>-27815.24</v>
      </c>
      <c r="C26" s="222"/>
      <c r="D26" s="221">
        <v>-7914</v>
      </c>
      <c r="E26" s="222"/>
    </row>
    <row r="27" spans="1:5" ht="15">
      <c r="A27" s="205" t="s">
        <v>65</v>
      </c>
      <c r="B27" s="223">
        <f>'Trial Balance'!Q35</f>
        <v>-12884.068000000003</v>
      </c>
      <c r="C27" s="222"/>
      <c r="D27" s="223">
        <v>-9289</v>
      </c>
      <c r="E27" s="222"/>
    </row>
    <row r="28" spans="1:5" ht="15">
      <c r="A28" s="205"/>
      <c r="B28" s="221"/>
      <c r="C28" s="222">
        <f>SUM(B25:B27)+0.5</f>
        <v>-31574.028000000002</v>
      </c>
      <c r="E28" s="222">
        <f>SUM(D25:D27)</f>
        <v>-14500</v>
      </c>
    </row>
    <row r="29" spans="1:5" ht="15">
      <c r="A29" s="205" t="s">
        <v>176</v>
      </c>
      <c r="B29" s="221"/>
      <c r="C29" s="222"/>
      <c r="E29" s="222"/>
    </row>
    <row r="30" spans="1:5" ht="15">
      <c r="A30" s="205" t="s">
        <v>7</v>
      </c>
      <c r="B30" s="221">
        <f>'Trial Balance'!Q37</f>
        <v>-12557.7</v>
      </c>
      <c r="C30" s="222"/>
      <c r="D30" s="221">
        <v>-5396</v>
      </c>
      <c r="E30" s="222"/>
    </row>
    <row r="31" spans="1:5" ht="15">
      <c r="A31" s="205" t="s">
        <v>64</v>
      </c>
      <c r="B31" s="221">
        <f>'Trial Balance'!Q38</f>
        <v>692.1400000000001</v>
      </c>
      <c r="C31" s="222"/>
      <c r="D31" s="221">
        <v>1121</v>
      </c>
      <c r="E31" s="222"/>
    </row>
    <row r="32" spans="1:5" ht="15">
      <c r="A32" s="205" t="s">
        <v>65</v>
      </c>
      <c r="B32" s="221">
        <f>'Trial Balance'!Q39</f>
        <v>2816.0499999999993</v>
      </c>
      <c r="C32" s="222"/>
      <c r="D32" s="221">
        <v>1663</v>
      </c>
      <c r="E32" s="222"/>
    </row>
    <row r="33" spans="1:5" ht="15">
      <c r="A33" s="205"/>
      <c r="B33" s="221"/>
      <c r="C33" s="222">
        <f>SUM(B30:B32)</f>
        <v>-9049.510000000002</v>
      </c>
      <c r="D33" s="221"/>
      <c r="E33" s="222">
        <f>SUM(D30:D32)</f>
        <v>-2612</v>
      </c>
    </row>
    <row r="34" spans="1:5" ht="15">
      <c r="A34" s="215" t="s">
        <v>177</v>
      </c>
      <c r="B34" s="221"/>
      <c r="C34" s="222"/>
      <c r="D34" s="221"/>
      <c r="E34" s="222"/>
    </row>
    <row r="35" spans="1:5" ht="15">
      <c r="A35" s="205" t="s">
        <v>67</v>
      </c>
      <c r="B35" s="221">
        <f>'Trial Balance'!N7</f>
        <v>3413</v>
      </c>
      <c r="C35" s="222"/>
      <c r="D35" s="221">
        <v>602</v>
      </c>
      <c r="E35" s="222"/>
    </row>
    <row r="36" spans="1:5" ht="15">
      <c r="A36" s="205" t="s">
        <v>68</v>
      </c>
      <c r="B36" s="223">
        <f>'Trial Balance'!N9</f>
        <v>982</v>
      </c>
      <c r="C36" s="222"/>
      <c r="D36" s="223">
        <v>327</v>
      </c>
      <c r="E36" s="222"/>
    </row>
    <row r="37" spans="1:5" ht="15">
      <c r="A37" s="205"/>
      <c r="B37" s="221"/>
      <c r="C37" s="222">
        <f>SUM(B35:B36)</f>
        <v>4395</v>
      </c>
      <c r="D37" s="221"/>
      <c r="E37" s="222">
        <f>SUM(D35:D36)</f>
        <v>929</v>
      </c>
    </row>
    <row r="38" spans="1:5" ht="16.5" thickBot="1">
      <c r="A38" s="224" t="s">
        <v>178</v>
      </c>
      <c r="B38" s="221"/>
      <c r="C38" s="226">
        <f>SUM(C23:C37)</f>
        <v>37655.47999999999</v>
      </c>
      <c r="D38" s="221"/>
      <c r="E38" s="226">
        <f>SUM(E23:E37)</f>
        <v>71997</v>
      </c>
    </row>
    <row r="39" spans="1:5" ht="11.25" customHeight="1" thickTop="1">
      <c r="A39" s="205"/>
      <c r="B39" s="221"/>
      <c r="C39" s="222"/>
      <c r="D39" s="221"/>
      <c r="E39" s="222"/>
    </row>
    <row r="40" spans="1:5" ht="15.75">
      <c r="A40" s="288" t="s">
        <v>562</v>
      </c>
      <c r="B40" s="223"/>
      <c r="C40" s="227">
        <f>SUM(C13-C38)</f>
        <v>24390.810000000012</v>
      </c>
      <c r="D40" s="223"/>
      <c r="E40" s="227">
        <f>E13-E38</f>
        <v>-13842</v>
      </c>
    </row>
  </sheetData>
  <sheetProtection/>
  <mergeCells count="3">
    <mergeCell ref="A1:G1"/>
    <mergeCell ref="D5:E5"/>
    <mergeCell ref="B5:C5"/>
  </mergeCells>
  <printOptions gridLines="1"/>
  <pageMargins left="0.75" right="0.75" top="1" bottom="1" header="0.5" footer="0.5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" sqref="A3:F31"/>
    </sheetView>
  </sheetViews>
  <sheetFormatPr defaultColWidth="8.88671875" defaultRowHeight="15"/>
  <cols>
    <col min="1" max="1" width="25.99609375" style="0" customWidth="1"/>
    <col min="2" max="2" width="3.3359375" style="1" customWidth="1"/>
    <col min="3" max="3" width="8.99609375" style="0" customWidth="1"/>
    <col min="4" max="4" width="8.6640625" style="0" customWidth="1"/>
    <col min="5" max="6" width="8.88671875" style="105" customWidth="1"/>
  </cols>
  <sheetData>
    <row r="1" ht="15.75">
      <c r="A1" s="96" t="s">
        <v>169</v>
      </c>
    </row>
    <row r="3" ht="15.75">
      <c r="A3" s="96" t="s">
        <v>578</v>
      </c>
    </row>
    <row r="5" spans="1:6" ht="15.75">
      <c r="A5" s="179"/>
      <c r="B5" s="251"/>
      <c r="C5" s="598" t="s">
        <v>564</v>
      </c>
      <c r="D5" s="600"/>
      <c r="E5" s="598" t="s">
        <v>563</v>
      </c>
      <c r="F5" s="599"/>
    </row>
    <row r="6" spans="1:6" ht="15">
      <c r="A6" s="180"/>
      <c r="B6" s="161"/>
      <c r="C6" s="252"/>
      <c r="D6" s="253"/>
      <c r="E6" s="252"/>
      <c r="F6" s="253"/>
    </row>
    <row r="7" spans="1:6" ht="15">
      <c r="A7" s="254" t="s">
        <v>294</v>
      </c>
      <c r="B7" s="161"/>
      <c r="C7" s="221"/>
      <c r="D7" s="222">
        <f>F9</f>
        <v>223295</v>
      </c>
      <c r="E7" s="221"/>
      <c r="F7" s="222">
        <v>237137</v>
      </c>
    </row>
    <row r="8" spans="1:6" ht="15">
      <c r="A8" s="180" t="s">
        <v>185</v>
      </c>
      <c r="B8" s="161"/>
      <c r="C8" s="221"/>
      <c r="D8" s="222">
        <f>'Inc &amp; Exp acc'!C40</f>
        <v>24390.810000000012</v>
      </c>
      <c r="E8" s="221"/>
      <c r="F8" s="222">
        <v>-13842</v>
      </c>
    </row>
    <row r="9" spans="1:6" ht="16.5" thickBot="1">
      <c r="A9" s="180"/>
      <c r="B9" s="161"/>
      <c r="C9" s="221"/>
      <c r="D9" s="226">
        <f>SUM(D7:D8)</f>
        <v>247685.81</v>
      </c>
      <c r="E9" s="221"/>
      <c r="F9" s="226">
        <f>SUM(F7:F8)</f>
        <v>223295</v>
      </c>
    </row>
    <row r="10" spans="1:6" ht="16.5" thickTop="1">
      <c r="A10" s="255" t="s">
        <v>69</v>
      </c>
      <c r="B10" s="161"/>
      <c r="C10" s="221"/>
      <c r="D10" s="222"/>
      <c r="E10" s="221"/>
      <c r="F10" s="222"/>
    </row>
    <row r="11" spans="1:6" ht="15">
      <c r="A11" s="254" t="s">
        <v>195</v>
      </c>
      <c r="B11" s="161"/>
      <c r="C11" s="221">
        <f>F14</f>
        <v>3413</v>
      </c>
      <c r="D11" s="222"/>
      <c r="E11" s="221">
        <v>4015</v>
      </c>
      <c r="F11" s="222"/>
    </row>
    <row r="12" spans="1:6" ht="15">
      <c r="A12" s="180" t="s">
        <v>75</v>
      </c>
      <c r="B12" s="161"/>
      <c r="C12" s="256">
        <f>'[1]New Trial Balance'!E6</f>
        <v>0</v>
      </c>
      <c r="D12" s="222"/>
      <c r="E12" s="256">
        <v>0</v>
      </c>
      <c r="F12" s="222"/>
    </row>
    <row r="13" spans="1:6" ht="15.75">
      <c r="A13" s="255" t="s">
        <v>70</v>
      </c>
      <c r="B13" s="161"/>
      <c r="C13" s="223">
        <f>'Trial Balance'!Q7</f>
        <v>-3413</v>
      </c>
      <c r="D13" s="222"/>
      <c r="E13" s="223">
        <v>-602</v>
      </c>
      <c r="F13" s="222"/>
    </row>
    <row r="14" spans="1:6" ht="15">
      <c r="A14" s="180"/>
      <c r="B14" s="161"/>
      <c r="C14" s="221"/>
      <c r="D14" s="222">
        <f>SUM(C11:C13)</f>
        <v>0</v>
      </c>
      <c r="E14" s="221"/>
      <c r="F14" s="222">
        <f>SUM(E11:E13)</f>
        <v>3413</v>
      </c>
    </row>
    <row r="15" spans="1:6" ht="15">
      <c r="A15" s="254" t="s">
        <v>196</v>
      </c>
      <c r="B15" s="161"/>
      <c r="C15" s="221">
        <f>F18</f>
        <v>982</v>
      </c>
      <c r="D15" s="222"/>
      <c r="E15" s="221">
        <v>1309</v>
      </c>
      <c r="F15" s="222"/>
    </row>
    <row r="16" spans="1:6" ht="15">
      <c r="A16" s="180" t="s">
        <v>76</v>
      </c>
      <c r="B16" s="161"/>
      <c r="C16" s="256"/>
      <c r="D16" s="222"/>
      <c r="E16" s="256">
        <v>0</v>
      </c>
      <c r="F16" s="222"/>
    </row>
    <row r="17" spans="1:6" ht="15.75">
      <c r="A17" s="255" t="s">
        <v>70</v>
      </c>
      <c r="B17" s="161"/>
      <c r="C17" s="223">
        <f>'Trial Balance'!Q9</f>
        <v>-982</v>
      </c>
      <c r="D17" s="222"/>
      <c r="E17" s="223">
        <v>-327</v>
      </c>
      <c r="F17" s="222"/>
    </row>
    <row r="18" spans="1:6" ht="15">
      <c r="A18" s="180"/>
      <c r="B18" s="161"/>
      <c r="C18" s="221"/>
      <c r="D18" s="222">
        <f>SUM(C15:C17)</f>
        <v>0</v>
      </c>
      <c r="E18" s="221"/>
      <c r="F18" s="222">
        <f>SUM(E15:E17)</f>
        <v>982</v>
      </c>
    </row>
    <row r="19" spans="1:6" ht="15.75">
      <c r="A19" s="255" t="s">
        <v>16</v>
      </c>
      <c r="B19" s="161"/>
      <c r="C19" s="221"/>
      <c r="D19" s="222"/>
      <c r="E19" s="221"/>
      <c r="F19" s="222"/>
    </row>
    <row r="20" spans="1:6" ht="15">
      <c r="A20" s="180" t="s">
        <v>71</v>
      </c>
      <c r="B20" s="161"/>
      <c r="C20" s="221"/>
      <c r="D20" s="91">
        <f>'Trial Balance'!Q11-0.6</f>
        <v>1494.4</v>
      </c>
      <c r="E20" s="221"/>
      <c r="F20" s="222">
        <v>1320</v>
      </c>
    </row>
    <row r="21" spans="1:6" ht="15">
      <c r="A21" s="180"/>
      <c r="B21" s="161"/>
      <c r="C21" s="221"/>
      <c r="D21" s="222"/>
      <c r="E21" s="221"/>
      <c r="F21" s="222"/>
    </row>
    <row r="22" spans="1:6" ht="15">
      <c r="A22" s="180"/>
      <c r="B22" s="161"/>
      <c r="C22" s="221"/>
      <c r="D22" s="222"/>
      <c r="E22" s="221"/>
      <c r="F22" s="222"/>
    </row>
    <row r="23" spans="1:6" ht="15.75">
      <c r="A23" s="255" t="s">
        <v>72</v>
      </c>
      <c r="B23" s="161"/>
      <c r="C23" s="221"/>
      <c r="D23" s="222">
        <f>'Trial Balance'!Q12</f>
        <v>2313.68</v>
      </c>
      <c r="E23" s="221"/>
      <c r="F23" s="222">
        <v>20952</v>
      </c>
    </row>
    <row r="24" spans="1:6" ht="15">
      <c r="A24" s="254"/>
      <c r="B24" s="161"/>
      <c r="C24" s="221"/>
      <c r="D24" s="222"/>
      <c r="E24" s="221"/>
      <c r="F24" s="222"/>
    </row>
    <row r="25" spans="1:6" ht="15.75">
      <c r="A25" s="255" t="s">
        <v>305</v>
      </c>
      <c r="B25" s="161"/>
      <c r="C25" s="221"/>
      <c r="D25" s="222"/>
      <c r="E25" s="221"/>
      <c r="F25" s="222"/>
    </row>
    <row r="26" spans="1:6" ht="15">
      <c r="A26" s="254" t="s">
        <v>304</v>
      </c>
      <c r="B26" s="161"/>
      <c r="C26" s="221">
        <f>'Trial Balance'!Q14</f>
        <v>245636.11999999994</v>
      </c>
      <c r="E26" s="221">
        <v>201970</v>
      </c>
      <c r="F26" s="181"/>
    </row>
    <row r="27" spans="1:6" ht="15">
      <c r="A27" s="254" t="s">
        <v>73</v>
      </c>
      <c r="B27" s="161"/>
      <c r="C27" s="223">
        <f>'Trial Balance'!Q15</f>
        <v>242.01</v>
      </c>
      <c r="E27" s="223">
        <v>317</v>
      </c>
      <c r="F27" s="222"/>
    </row>
    <row r="28" spans="1:6" ht="15.75">
      <c r="A28" s="255"/>
      <c r="B28" s="161"/>
      <c r="C28" s="221"/>
      <c r="D28" s="222">
        <f>SUM(C26:C27)</f>
        <v>245878.12999999995</v>
      </c>
      <c r="E28" s="221"/>
      <c r="F28" s="222">
        <f>SUM(E26:E27)</f>
        <v>202287</v>
      </c>
    </row>
    <row r="29" spans="1:6" ht="15.75">
      <c r="A29" s="255"/>
      <c r="B29" s="161"/>
      <c r="C29" s="221"/>
      <c r="D29" s="222"/>
      <c r="E29" s="221"/>
      <c r="F29" s="222"/>
    </row>
    <row r="30" spans="1:6" ht="15.75">
      <c r="A30" s="255" t="s">
        <v>74</v>
      </c>
      <c r="B30" s="161"/>
      <c r="C30" s="221"/>
      <c r="D30" s="222">
        <f>'Trial Balance'!Q16</f>
        <v>-2000</v>
      </c>
      <c r="E30" s="221"/>
      <c r="F30" s="222">
        <v>-5659</v>
      </c>
    </row>
    <row r="31" spans="1:6" ht="16.5" thickBot="1">
      <c r="A31" s="184"/>
      <c r="B31" s="77"/>
      <c r="C31" s="223"/>
      <c r="D31" s="226">
        <f>SUM(D14:D30)-0.5</f>
        <v>247685.70999999993</v>
      </c>
      <c r="E31" s="223"/>
      <c r="F31" s="226">
        <f>SUM(F14:F30)</f>
        <v>223295</v>
      </c>
    </row>
    <row r="32" ht="15.75" thickTop="1"/>
  </sheetData>
  <sheetProtection/>
  <mergeCells count="2">
    <mergeCell ref="E5:F5"/>
    <mergeCell ref="C5:D5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95"/>
  <sheetViews>
    <sheetView zoomScale="160" zoomScaleNormal="160" zoomScalePageLayoutView="0" workbookViewId="0" topLeftCell="A1">
      <pane xSplit="4" ySplit="5" topLeftCell="AL8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M88" sqref="AM88:AM89"/>
    </sheetView>
  </sheetViews>
  <sheetFormatPr defaultColWidth="8.88671875" defaultRowHeight="15"/>
  <cols>
    <col min="1" max="1" width="3.99609375" style="7" customWidth="1"/>
    <col min="2" max="2" width="5.5546875" style="7" customWidth="1"/>
    <col min="3" max="3" width="11.99609375" style="7" customWidth="1"/>
    <col min="4" max="4" width="7.77734375" style="7" customWidth="1"/>
    <col min="5" max="5" width="7.77734375" style="139" customWidth="1"/>
    <col min="6" max="6" width="8.3359375" style="139" customWidth="1"/>
    <col min="7" max="7" width="7.77734375" style="139" customWidth="1"/>
    <col min="8" max="8" width="8.88671875" style="139" customWidth="1"/>
    <col min="9" max="9" width="8.88671875" style="6" customWidth="1"/>
    <col min="10" max="10" width="7.88671875" style="6" bestFit="1" customWidth="1"/>
    <col min="11" max="12" width="6.88671875" style="6" bestFit="1" customWidth="1"/>
    <col min="13" max="13" width="7.99609375" style="6" bestFit="1" customWidth="1"/>
    <col min="14" max="14" width="6.10546875" style="6" customWidth="1"/>
    <col min="15" max="15" width="6.3359375" style="6" bestFit="1" customWidth="1"/>
    <col min="16" max="16" width="8.77734375" style="6" bestFit="1" customWidth="1"/>
    <col min="17" max="17" width="7.5546875" style="6" bestFit="1" customWidth="1"/>
    <col min="18" max="18" width="7.5546875" style="6" customWidth="1"/>
    <col min="19" max="19" width="6.88671875" style="6" bestFit="1" customWidth="1"/>
    <col min="20" max="20" width="7.4453125" style="6" bestFit="1" customWidth="1"/>
    <col min="21" max="21" width="7.4453125" style="6" customWidth="1"/>
    <col min="22" max="22" width="6.77734375" style="6" customWidth="1"/>
    <col min="23" max="23" width="7.77734375" style="6" bestFit="1" customWidth="1"/>
    <col min="24" max="24" width="6.3359375" style="6" bestFit="1" customWidth="1"/>
    <col min="25" max="25" width="6.3359375" style="6" customWidth="1"/>
    <col min="26" max="26" width="7.4453125" style="6" bestFit="1" customWidth="1"/>
    <col min="27" max="27" width="7.5546875" style="6" customWidth="1"/>
    <col min="28" max="28" width="6.3359375" style="6" bestFit="1" customWidth="1"/>
    <col min="29" max="29" width="8.88671875" style="6" customWidth="1"/>
    <col min="30" max="30" width="8.10546875" style="6" bestFit="1" customWidth="1"/>
    <col min="31" max="31" width="6.6640625" style="6" bestFit="1" customWidth="1"/>
    <col min="32" max="34" width="6.77734375" style="6" customWidth="1"/>
    <col min="35" max="35" width="6.3359375" style="6" bestFit="1" customWidth="1"/>
    <col min="36" max="36" width="6.77734375" style="6" bestFit="1" customWidth="1"/>
    <col min="37" max="37" width="6.6640625" style="6" bestFit="1" customWidth="1"/>
    <col min="38" max="38" width="8.99609375" style="6" bestFit="1" customWidth="1"/>
    <col min="39" max="39" width="9.77734375" style="6" bestFit="1" customWidth="1"/>
    <col min="40" max="40" width="6.5546875" style="7" customWidth="1"/>
    <col min="41" max="41" width="8.88671875" style="6" customWidth="1"/>
    <col min="42" max="16384" width="8.88671875" style="7" customWidth="1"/>
  </cols>
  <sheetData>
    <row r="1" spans="2:40" ht="17.25" customHeight="1">
      <c r="B1" s="3" t="s">
        <v>306</v>
      </c>
      <c r="C1" s="4"/>
      <c r="D1" s="4"/>
      <c r="E1" s="126"/>
      <c r="F1" s="126"/>
      <c r="G1" s="126"/>
      <c r="H1" s="12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4"/>
    </row>
    <row r="2" spans="2:41" s="14" customFormat="1" ht="12">
      <c r="B2" s="8"/>
      <c r="C2" s="9"/>
      <c r="D2" s="9"/>
      <c r="E2" s="127"/>
      <c r="F2" s="128"/>
      <c r="G2" s="128"/>
      <c r="H2" s="128"/>
      <c r="I2" s="601" t="s">
        <v>134</v>
      </c>
      <c r="J2" s="602"/>
      <c r="K2" s="602"/>
      <c r="L2" s="602"/>
      <c r="M2" s="602"/>
      <c r="N2" s="602"/>
      <c r="O2" s="602"/>
      <c r="P2" s="602"/>
      <c r="Q2" s="602"/>
      <c r="R2" s="602"/>
      <c r="S2" s="603"/>
      <c r="T2" s="10"/>
      <c r="U2" s="142"/>
      <c r="V2" s="601" t="s">
        <v>0</v>
      </c>
      <c r="W2" s="602"/>
      <c r="X2" s="602"/>
      <c r="Y2" s="602"/>
      <c r="Z2" s="602"/>
      <c r="AA2" s="602"/>
      <c r="AB2" s="602"/>
      <c r="AC2" s="602"/>
      <c r="AD2" s="602"/>
      <c r="AE2" s="603"/>
      <c r="AF2" s="81" t="s">
        <v>79</v>
      </c>
      <c r="AG2" s="81"/>
      <c r="AH2" s="601" t="s">
        <v>33</v>
      </c>
      <c r="AI2" s="602"/>
      <c r="AJ2" s="602"/>
      <c r="AK2" s="603"/>
      <c r="AL2" s="11"/>
      <c r="AM2" s="12"/>
      <c r="AN2" s="9"/>
      <c r="AO2" s="13"/>
    </row>
    <row r="3" spans="1:41" s="21" customFormat="1" ht="12">
      <c r="A3" s="21" t="s">
        <v>82</v>
      </c>
      <c r="B3" s="15" t="s">
        <v>2</v>
      </c>
      <c r="C3" s="15" t="s">
        <v>35</v>
      </c>
      <c r="D3" s="15" t="s">
        <v>47</v>
      </c>
      <c r="E3" s="129"/>
      <c r="F3" s="130" t="s">
        <v>130</v>
      </c>
      <c r="G3" s="130" t="s">
        <v>132</v>
      </c>
      <c r="H3" s="130" t="s">
        <v>187</v>
      </c>
      <c r="I3" s="16" t="s">
        <v>48</v>
      </c>
      <c r="J3" s="17" t="s">
        <v>5</v>
      </c>
      <c r="K3" s="17" t="s">
        <v>36</v>
      </c>
      <c r="L3" s="17" t="s">
        <v>37</v>
      </c>
      <c r="M3" s="17" t="s">
        <v>38</v>
      </c>
      <c r="N3" s="17" t="s">
        <v>77</v>
      </c>
      <c r="O3" s="17" t="s">
        <v>39</v>
      </c>
      <c r="P3" s="17" t="s">
        <v>40</v>
      </c>
      <c r="Q3" s="17" t="s">
        <v>29</v>
      </c>
      <c r="R3" s="17"/>
      <c r="S3" s="17"/>
      <c r="T3" s="17" t="s">
        <v>85</v>
      </c>
      <c r="U3" s="17" t="s">
        <v>151</v>
      </c>
      <c r="V3" s="604" t="s">
        <v>7</v>
      </c>
      <c r="W3" s="604"/>
      <c r="X3" s="604"/>
      <c r="Y3" s="604"/>
      <c r="Z3" s="604"/>
      <c r="AA3" s="604"/>
      <c r="AB3" s="604"/>
      <c r="AC3" s="17" t="s">
        <v>8</v>
      </c>
      <c r="AD3" s="17" t="s">
        <v>9</v>
      </c>
      <c r="AE3" s="17" t="s">
        <v>10</v>
      </c>
      <c r="AF3" s="17" t="s">
        <v>80</v>
      </c>
      <c r="AG3" s="17" t="s">
        <v>204</v>
      </c>
      <c r="AH3" s="18" t="s">
        <v>11</v>
      </c>
      <c r="AI3" s="18" t="s">
        <v>8</v>
      </c>
      <c r="AJ3" s="18" t="s">
        <v>9</v>
      </c>
      <c r="AK3" s="18" t="s">
        <v>10</v>
      </c>
      <c r="AL3" s="17" t="s">
        <v>27</v>
      </c>
      <c r="AM3" s="19"/>
      <c r="AN3" s="15" t="s">
        <v>41</v>
      </c>
      <c r="AO3" s="20"/>
    </row>
    <row r="4" spans="2:41" s="21" customFormat="1" ht="12">
      <c r="B4" s="15"/>
      <c r="C4" s="15"/>
      <c r="D4" s="15" t="s">
        <v>46</v>
      </c>
      <c r="E4" s="129"/>
      <c r="F4" s="130" t="s">
        <v>131</v>
      </c>
      <c r="G4" s="130" t="s">
        <v>133</v>
      </c>
      <c r="H4" s="130" t="s">
        <v>188</v>
      </c>
      <c r="I4" s="16" t="s">
        <v>49</v>
      </c>
      <c r="J4" s="17" t="s">
        <v>13</v>
      </c>
      <c r="K4" s="17" t="s">
        <v>42</v>
      </c>
      <c r="L4" s="17" t="s">
        <v>43</v>
      </c>
      <c r="M4" s="17" t="s">
        <v>212</v>
      </c>
      <c r="N4" s="17"/>
      <c r="O4" s="17" t="s">
        <v>44</v>
      </c>
      <c r="P4" s="17" t="s">
        <v>45</v>
      </c>
      <c r="Q4" s="17" t="s">
        <v>15</v>
      </c>
      <c r="R4" s="17" t="s">
        <v>27</v>
      </c>
      <c r="S4" s="17"/>
      <c r="T4" s="17" t="s">
        <v>34</v>
      </c>
      <c r="U4" s="17"/>
      <c r="V4" s="17" t="s">
        <v>17</v>
      </c>
      <c r="W4" s="17" t="s">
        <v>18</v>
      </c>
      <c r="X4" s="17" t="s">
        <v>20</v>
      </c>
      <c r="Y4" s="17" t="s">
        <v>23</v>
      </c>
      <c r="Z4" s="17"/>
      <c r="AA4" s="17" t="s">
        <v>19</v>
      </c>
      <c r="AB4" s="17" t="s">
        <v>20</v>
      </c>
      <c r="AC4" s="17" t="s">
        <v>21</v>
      </c>
      <c r="AD4" s="17" t="s">
        <v>22</v>
      </c>
      <c r="AE4" s="17" t="s">
        <v>23</v>
      </c>
      <c r="AF4" s="17" t="s">
        <v>239</v>
      </c>
      <c r="AG4" s="17" t="s">
        <v>205</v>
      </c>
      <c r="AH4" s="17" t="s">
        <v>24</v>
      </c>
      <c r="AI4" s="17" t="s">
        <v>21</v>
      </c>
      <c r="AJ4" s="17" t="s">
        <v>22</v>
      </c>
      <c r="AK4" s="17" t="s">
        <v>23</v>
      </c>
      <c r="AL4" s="17"/>
      <c r="AM4" s="19"/>
      <c r="AN4" s="15" t="s">
        <v>46</v>
      </c>
      <c r="AO4" s="20" t="s">
        <v>50</v>
      </c>
    </row>
    <row r="5" spans="2:41" s="21" customFormat="1" ht="12">
      <c r="B5" s="22"/>
      <c r="C5" s="22"/>
      <c r="D5" s="22"/>
      <c r="E5" s="131"/>
      <c r="F5" s="132"/>
      <c r="G5" s="132"/>
      <c r="H5" s="132" t="s">
        <v>189</v>
      </c>
      <c r="I5" s="23"/>
      <c r="J5" s="24"/>
      <c r="K5" s="24" t="s">
        <v>28</v>
      </c>
      <c r="L5" s="24"/>
      <c r="M5" s="24" t="s">
        <v>26</v>
      </c>
      <c r="N5" s="24"/>
      <c r="O5" s="24"/>
      <c r="P5" s="24"/>
      <c r="Q5" s="24" t="s">
        <v>28</v>
      </c>
      <c r="R5" s="24"/>
      <c r="S5" s="24"/>
      <c r="T5" s="24"/>
      <c r="U5" s="24"/>
      <c r="V5" s="24" t="s">
        <v>227</v>
      </c>
      <c r="W5" s="24" t="s">
        <v>226</v>
      </c>
      <c r="X5" s="24" t="s">
        <v>215</v>
      </c>
      <c r="Y5" s="24"/>
      <c r="Z5" s="24" t="s">
        <v>86</v>
      </c>
      <c r="AA5" s="24"/>
      <c r="AB5" s="24" t="s">
        <v>30</v>
      </c>
      <c r="AC5" s="24"/>
      <c r="AD5" s="24"/>
      <c r="AE5" s="24"/>
      <c r="AF5" s="24" t="s">
        <v>78</v>
      </c>
      <c r="AG5" s="24"/>
      <c r="AH5" s="24"/>
      <c r="AI5" s="24"/>
      <c r="AJ5" s="24"/>
      <c r="AK5" s="24"/>
      <c r="AL5" s="24"/>
      <c r="AM5" s="25" t="s">
        <v>31</v>
      </c>
      <c r="AN5" s="22"/>
      <c r="AO5" s="20"/>
    </row>
    <row r="6" spans="1:41" s="32" customFormat="1" ht="12">
      <c r="A6" s="32">
        <v>1</v>
      </c>
      <c r="B6" s="26">
        <v>42481</v>
      </c>
      <c r="C6" s="27" t="s">
        <v>14</v>
      </c>
      <c r="D6" s="27">
        <v>101578</v>
      </c>
      <c r="E6" s="133"/>
      <c r="F6" s="134"/>
      <c r="G6" s="134"/>
      <c r="H6" s="134"/>
      <c r="I6" s="28">
        <v>500</v>
      </c>
      <c r="J6" s="29"/>
      <c r="K6" s="29"/>
      <c r="L6" s="29"/>
      <c r="M6" s="29">
        <v>320.4</v>
      </c>
      <c r="N6" s="29"/>
      <c r="O6" s="29">
        <v>100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476">
        <f aca="true" t="shared" si="0" ref="AM6:AM51">SUM(E6:AL6)</f>
        <v>920.4</v>
      </c>
      <c r="AN6" s="38">
        <f>D6</f>
        <v>101578</v>
      </c>
      <c r="AO6" s="93"/>
    </row>
    <row r="7" spans="1:41" s="37" customFormat="1" ht="12">
      <c r="A7" s="32">
        <v>2</v>
      </c>
      <c r="B7" s="33">
        <v>42500</v>
      </c>
      <c r="C7" s="27" t="s">
        <v>14</v>
      </c>
      <c r="D7" s="27">
        <v>101579</v>
      </c>
      <c r="E7" s="135"/>
      <c r="F7" s="136"/>
      <c r="G7" s="136"/>
      <c r="H7" s="136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>
        <v>112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>
        <v>2000</v>
      </c>
      <c r="AJ7" s="35"/>
      <c r="AK7" s="35"/>
      <c r="AL7" s="35"/>
      <c r="AM7" s="476">
        <f t="shared" si="0"/>
        <v>2112</v>
      </c>
      <c r="AN7" s="38">
        <f aca="true" t="shared" si="1" ref="AN7:AN51">D7</f>
        <v>101579</v>
      </c>
      <c r="AO7" s="93" t="s">
        <v>308</v>
      </c>
    </row>
    <row r="8" spans="1:41" s="37" customFormat="1" ht="12">
      <c r="A8" s="32">
        <v>3</v>
      </c>
      <c r="B8" s="33">
        <v>42466</v>
      </c>
      <c r="C8" s="27" t="s">
        <v>250</v>
      </c>
      <c r="D8" s="27" t="s">
        <v>310</v>
      </c>
      <c r="E8" s="135"/>
      <c r="F8" s="136"/>
      <c r="G8" s="136"/>
      <c r="H8" s="1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>
        <v>6276.5</v>
      </c>
      <c r="AE8" s="35"/>
      <c r="AF8" s="35"/>
      <c r="AG8" s="35"/>
      <c r="AH8" s="35"/>
      <c r="AI8" s="35"/>
      <c r="AJ8" s="35"/>
      <c r="AK8" s="35"/>
      <c r="AL8" s="35"/>
      <c r="AM8" s="476">
        <f t="shared" si="0"/>
        <v>6276.5</v>
      </c>
      <c r="AN8" s="38" t="str">
        <f t="shared" si="1"/>
        <v>Direct</v>
      </c>
      <c r="AO8" s="31"/>
    </row>
    <row r="9" spans="1:41" s="37" customFormat="1" ht="12">
      <c r="A9" s="32">
        <v>4</v>
      </c>
      <c r="B9" s="33">
        <v>42468</v>
      </c>
      <c r="C9" s="27" t="s">
        <v>315</v>
      </c>
      <c r="D9" s="27" t="s">
        <v>310</v>
      </c>
      <c r="E9" s="135"/>
      <c r="F9" s="136"/>
      <c r="G9" s="136"/>
      <c r="H9" s="136"/>
      <c r="I9" s="34">
        <v>610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476">
        <f t="shared" si="0"/>
        <v>610</v>
      </c>
      <c r="AN9" s="38" t="str">
        <f t="shared" si="1"/>
        <v>Direct</v>
      </c>
      <c r="AO9" s="93"/>
    </row>
    <row r="10" spans="1:41" s="37" customFormat="1" ht="12">
      <c r="A10" s="32">
        <v>5</v>
      </c>
      <c r="B10" s="33">
        <v>42468</v>
      </c>
      <c r="C10" s="27" t="s">
        <v>316</v>
      </c>
      <c r="D10" s="125" t="s">
        <v>310</v>
      </c>
      <c r="E10" s="135"/>
      <c r="F10" s="136"/>
      <c r="G10" s="136"/>
      <c r="H10" s="136"/>
      <c r="I10" s="34">
        <v>120</v>
      </c>
      <c r="J10" s="35"/>
      <c r="K10" s="35"/>
      <c r="L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M10" s="476">
        <f>SUM(E10:AK10)</f>
        <v>120</v>
      </c>
      <c r="AN10" s="38" t="str">
        <f t="shared" si="1"/>
        <v>Direct</v>
      </c>
      <c r="AO10" s="93"/>
    </row>
    <row r="11" spans="1:42" s="37" customFormat="1" ht="12">
      <c r="A11" s="32">
        <v>6</v>
      </c>
      <c r="B11" s="33">
        <v>42500</v>
      </c>
      <c r="C11" s="27" t="s">
        <v>317</v>
      </c>
      <c r="D11" s="125" t="s">
        <v>310</v>
      </c>
      <c r="E11" s="135"/>
      <c r="F11" s="136"/>
      <c r="G11" s="136"/>
      <c r="H11" s="136"/>
      <c r="I11" s="34">
        <v>60</v>
      </c>
      <c r="J11" s="35"/>
      <c r="K11" s="35"/>
      <c r="L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M11" s="476">
        <f>SUM(E11:AK11)</f>
        <v>60</v>
      </c>
      <c r="AN11" s="38" t="str">
        <f t="shared" si="1"/>
        <v>Direct</v>
      </c>
      <c r="AO11" s="93"/>
      <c r="AP11" s="67"/>
    </row>
    <row r="12" spans="1:42" s="37" customFormat="1" ht="12">
      <c r="A12" s="32">
        <v>7</v>
      </c>
      <c r="B12" s="33">
        <v>42522</v>
      </c>
      <c r="C12" s="27" t="s">
        <v>250</v>
      </c>
      <c r="D12" s="125" t="s">
        <v>310</v>
      </c>
      <c r="E12" s="135"/>
      <c r="F12" s="136"/>
      <c r="G12" s="136"/>
      <c r="H12" s="1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>
        <v>4970.1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476">
        <f t="shared" si="0"/>
        <v>4970.1</v>
      </c>
      <c r="AN12" s="38" t="str">
        <f t="shared" si="1"/>
        <v>Direct</v>
      </c>
      <c r="AO12" s="66"/>
      <c r="AP12" s="67"/>
    </row>
    <row r="13" spans="1:42" s="37" customFormat="1" ht="12">
      <c r="A13" s="32">
        <v>8</v>
      </c>
      <c r="B13" s="33">
        <v>42521</v>
      </c>
      <c r="C13" s="27" t="s">
        <v>14</v>
      </c>
      <c r="D13" s="27" t="s">
        <v>310</v>
      </c>
      <c r="E13" s="135"/>
      <c r="F13" s="136"/>
      <c r="G13" s="136"/>
      <c r="H13" s="136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308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476">
        <f t="shared" si="0"/>
        <v>308</v>
      </c>
      <c r="AN13" s="38" t="str">
        <f t="shared" si="1"/>
        <v>Direct</v>
      </c>
      <c r="AO13" s="66"/>
      <c r="AP13" s="67"/>
    </row>
    <row r="14" spans="1:42" s="37" customFormat="1" ht="12">
      <c r="A14" s="32">
        <v>9</v>
      </c>
      <c r="B14" s="33">
        <v>42535</v>
      </c>
      <c r="C14" s="27" t="s">
        <v>14</v>
      </c>
      <c r="D14" s="27">
        <v>101581</v>
      </c>
      <c r="E14" s="135"/>
      <c r="F14" s="136"/>
      <c r="G14" s="136"/>
      <c r="H14" s="136"/>
      <c r="I14" s="34"/>
      <c r="J14" s="35"/>
      <c r="K14" s="35"/>
      <c r="L14" s="35">
        <v>60</v>
      </c>
      <c r="M14" s="35"/>
      <c r="N14" s="35"/>
      <c r="O14" s="35"/>
      <c r="P14" s="35"/>
      <c r="Q14" s="35"/>
      <c r="R14" s="35"/>
      <c r="S14" s="35"/>
      <c r="T14" s="35"/>
      <c r="U14" s="35"/>
      <c r="V14" s="35">
        <v>1820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476">
        <f t="shared" si="0"/>
        <v>1880</v>
      </c>
      <c r="AN14" s="38">
        <f t="shared" si="1"/>
        <v>101581</v>
      </c>
      <c r="AO14" s="66"/>
      <c r="AP14" s="67"/>
    </row>
    <row r="15" spans="1:42" s="37" customFormat="1" ht="12">
      <c r="A15" s="32">
        <v>10</v>
      </c>
      <c r="B15" s="33">
        <v>42537</v>
      </c>
      <c r="C15" s="27" t="s">
        <v>14</v>
      </c>
      <c r="D15" s="27">
        <v>101582</v>
      </c>
      <c r="E15" s="135"/>
      <c r="F15" s="136"/>
      <c r="G15" s="136"/>
      <c r="H15" s="136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v>332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476">
        <f t="shared" si="0"/>
        <v>332</v>
      </c>
      <c r="AN15" s="38">
        <f t="shared" si="1"/>
        <v>101582</v>
      </c>
      <c r="AO15" s="67"/>
      <c r="AP15" s="177"/>
    </row>
    <row r="16" spans="1:41" s="37" customFormat="1" ht="12">
      <c r="A16" s="32">
        <v>11</v>
      </c>
      <c r="B16" s="33">
        <v>42550</v>
      </c>
      <c r="C16" s="27" t="s">
        <v>14</v>
      </c>
      <c r="D16" s="27">
        <v>101583</v>
      </c>
      <c r="E16" s="135"/>
      <c r="F16" s="136"/>
      <c r="G16" s="136"/>
      <c r="H16" s="136"/>
      <c r="I16" s="34"/>
      <c r="J16" s="36"/>
      <c r="K16" s="36"/>
      <c r="L16" s="36">
        <v>45</v>
      </c>
      <c r="M16" s="36"/>
      <c r="N16" s="36"/>
      <c r="O16" s="36">
        <v>50</v>
      </c>
      <c r="P16" s="36"/>
      <c r="Q16" s="36"/>
      <c r="R16" s="36"/>
      <c r="S16" s="36"/>
      <c r="T16" s="36"/>
      <c r="U16" s="36"/>
      <c r="V16" s="36">
        <v>92</v>
      </c>
      <c r="W16" s="36">
        <v>210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476">
        <f t="shared" si="0"/>
        <v>397</v>
      </c>
      <c r="AN16" s="38">
        <f t="shared" si="1"/>
        <v>101583</v>
      </c>
      <c r="AO16" s="67"/>
    </row>
    <row r="17" spans="1:41" s="37" customFormat="1" ht="12">
      <c r="A17" s="32">
        <v>12</v>
      </c>
      <c r="B17" s="33">
        <v>42563</v>
      </c>
      <c r="C17" s="27" t="s">
        <v>14</v>
      </c>
      <c r="D17" s="27">
        <v>101584</v>
      </c>
      <c r="E17" s="135"/>
      <c r="F17" s="136"/>
      <c r="G17" s="136"/>
      <c r="H17" s="136"/>
      <c r="I17" s="34"/>
      <c r="J17" s="36">
        <v>117</v>
      </c>
      <c r="K17" s="36"/>
      <c r="L17" s="36"/>
      <c r="M17" s="36"/>
      <c r="N17" s="36"/>
      <c r="O17" s="36">
        <v>25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476">
        <f t="shared" si="0"/>
        <v>142</v>
      </c>
      <c r="AN17" s="38">
        <f t="shared" si="1"/>
        <v>101584</v>
      </c>
      <c r="AO17" s="67"/>
    </row>
    <row r="18" spans="1:41" s="37" customFormat="1" ht="12">
      <c r="A18" s="32">
        <v>13</v>
      </c>
      <c r="B18" s="33">
        <v>42570</v>
      </c>
      <c r="C18" s="27" t="s">
        <v>14</v>
      </c>
      <c r="D18" s="27">
        <v>101585</v>
      </c>
      <c r="E18" s="135"/>
      <c r="F18" s="136"/>
      <c r="G18" s="136"/>
      <c r="H18" s="136"/>
      <c r="I18" s="34"/>
      <c r="J18" s="36"/>
      <c r="K18" s="36"/>
      <c r="L18" s="36"/>
      <c r="M18" s="36"/>
      <c r="N18" s="36"/>
      <c r="O18" s="36"/>
      <c r="P18" s="36">
        <v>16</v>
      </c>
      <c r="Q18" s="36"/>
      <c r="R18" s="36"/>
      <c r="S18" s="36"/>
      <c r="T18" s="36"/>
      <c r="U18" s="36"/>
      <c r="V18" s="36"/>
      <c r="W18" s="36">
        <v>286</v>
      </c>
      <c r="X18" s="36"/>
      <c r="Y18" s="36"/>
      <c r="Z18" s="36">
        <v>20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476">
        <f t="shared" si="0"/>
        <v>322</v>
      </c>
      <c r="AN18" s="38">
        <f t="shared" si="1"/>
        <v>101585</v>
      </c>
      <c r="AO18" s="67"/>
    </row>
    <row r="19" spans="1:41" s="37" customFormat="1" ht="12">
      <c r="A19" s="32">
        <v>14</v>
      </c>
      <c r="B19" s="33">
        <v>42576</v>
      </c>
      <c r="C19" s="27" t="s">
        <v>14</v>
      </c>
      <c r="D19" s="27">
        <v>101586</v>
      </c>
      <c r="E19" s="135"/>
      <c r="F19" s="136">
        <v>3000</v>
      </c>
      <c r="G19" s="136"/>
      <c r="H19" s="136"/>
      <c r="I19" s="34">
        <v>520</v>
      </c>
      <c r="J19" s="36"/>
      <c r="K19" s="36"/>
      <c r="L19" s="36"/>
      <c r="M19" s="36"/>
      <c r="N19" s="36"/>
      <c r="O19" s="36">
        <v>50</v>
      </c>
      <c r="P19" s="36"/>
      <c r="Q19" s="36"/>
      <c r="R19" s="36"/>
      <c r="S19" s="36"/>
      <c r="T19" s="36"/>
      <c r="U19" s="36"/>
      <c r="V19" s="36">
        <v>30</v>
      </c>
      <c r="W19" s="36">
        <f>182</f>
        <v>182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476">
        <f t="shared" si="0"/>
        <v>3782</v>
      </c>
      <c r="AN19" s="38">
        <f>D19</f>
        <v>101586</v>
      </c>
      <c r="AO19" s="67"/>
    </row>
    <row r="20" spans="1:41" s="37" customFormat="1" ht="12">
      <c r="A20" s="32">
        <v>15</v>
      </c>
      <c r="B20" s="33">
        <v>42586</v>
      </c>
      <c r="C20" s="27" t="s">
        <v>14</v>
      </c>
      <c r="D20" s="27">
        <v>101587</v>
      </c>
      <c r="E20" s="135"/>
      <c r="F20" s="136"/>
      <c r="G20" s="136"/>
      <c r="H20" s="136"/>
      <c r="I20" s="34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>
        <v>366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476">
        <f>SUM(E20:AL20)</f>
        <v>366</v>
      </c>
      <c r="AN20" s="38">
        <f t="shared" si="1"/>
        <v>101587</v>
      </c>
      <c r="AO20" s="67"/>
    </row>
    <row r="21" spans="1:41" s="68" customFormat="1" ht="12">
      <c r="A21" s="32">
        <v>16</v>
      </c>
      <c r="B21" s="71">
        <v>42598</v>
      </c>
      <c r="C21" s="27" t="s">
        <v>14</v>
      </c>
      <c r="D21" s="27">
        <v>101588</v>
      </c>
      <c r="E21" s="135"/>
      <c r="F21" s="99"/>
      <c r="G21" s="99"/>
      <c r="H21" s="99"/>
      <c r="I21" s="72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>
        <v>1197.6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36"/>
      <c r="AL21" s="36"/>
      <c r="AM21" s="476">
        <f t="shared" si="0"/>
        <v>1197.6</v>
      </c>
      <c r="AN21" s="176">
        <f t="shared" si="1"/>
        <v>101588</v>
      </c>
      <c r="AO21" s="70"/>
    </row>
    <row r="22" spans="1:41" s="68" customFormat="1" ht="12">
      <c r="A22" s="32">
        <v>17</v>
      </c>
      <c r="B22" s="71">
        <v>42600</v>
      </c>
      <c r="C22" s="73" t="s">
        <v>14</v>
      </c>
      <c r="D22" s="27">
        <v>101589</v>
      </c>
      <c r="E22" s="135"/>
      <c r="F22" s="99"/>
      <c r="G22" s="99"/>
      <c r="H22" s="99"/>
      <c r="I22" s="72">
        <v>730</v>
      </c>
      <c r="J22" s="69"/>
      <c r="K22" s="69"/>
      <c r="L22" s="69"/>
      <c r="M22" s="69"/>
      <c r="N22" s="69"/>
      <c r="O22" s="69">
        <v>100</v>
      </c>
      <c r="P22" s="69">
        <v>50</v>
      </c>
      <c r="Q22" s="69"/>
      <c r="R22" s="69"/>
      <c r="S22" s="69"/>
      <c r="T22" s="69"/>
      <c r="U22" s="69"/>
      <c r="V22" s="69"/>
      <c r="W22" s="69">
        <v>254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36"/>
      <c r="AL22" s="36"/>
      <c r="AM22" s="476">
        <f t="shared" si="0"/>
        <v>1134</v>
      </c>
      <c r="AN22" s="176">
        <f t="shared" si="1"/>
        <v>101589</v>
      </c>
      <c r="AO22" s="70"/>
    </row>
    <row r="23" spans="1:41" s="37" customFormat="1" ht="12">
      <c r="A23" s="32">
        <v>18</v>
      </c>
      <c r="B23" s="33">
        <v>42593</v>
      </c>
      <c r="C23" s="27" t="s">
        <v>250</v>
      </c>
      <c r="D23" s="27" t="s">
        <v>310</v>
      </c>
      <c r="E23" s="135"/>
      <c r="F23" s="136"/>
      <c r="G23" s="136"/>
      <c r="H23" s="136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>
        <v>5433.4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35"/>
      <c r="AM23" s="476">
        <f t="shared" si="0"/>
        <v>5433.4</v>
      </c>
      <c r="AN23" s="65" t="str">
        <f>D23</f>
        <v>Direct</v>
      </c>
      <c r="AO23" s="67"/>
    </row>
    <row r="24" spans="1:41" s="37" customFormat="1" ht="12.75" customHeight="1">
      <c r="A24" s="32">
        <v>19</v>
      </c>
      <c r="B24" s="33">
        <v>42612</v>
      </c>
      <c r="C24" s="27" t="s">
        <v>341</v>
      </c>
      <c r="D24" s="473" t="s">
        <v>351</v>
      </c>
      <c r="E24" s="135"/>
      <c r="F24" s="136"/>
      <c r="G24" s="136"/>
      <c r="H24" s="136"/>
      <c r="I24" s="34"/>
      <c r="J24" s="35"/>
      <c r="K24" s="35"/>
      <c r="L24" s="35"/>
      <c r="M24" s="35">
        <v>93.23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476">
        <f t="shared" si="0"/>
        <v>93.23</v>
      </c>
      <c r="AN24" s="65" t="str">
        <f aca="true" t="shared" si="2" ref="AN24:AN29">D24</f>
        <v>Dr from 15-16</v>
      </c>
      <c r="AO24" s="67"/>
    </row>
    <row r="25" spans="1:41" s="37" customFormat="1" ht="12.75" customHeight="1">
      <c r="A25" s="32">
        <v>20</v>
      </c>
      <c r="B25" s="33">
        <v>42489</v>
      </c>
      <c r="C25" s="27" t="s">
        <v>316</v>
      </c>
      <c r="D25" s="27" t="s">
        <v>360</v>
      </c>
      <c r="E25" s="135"/>
      <c r="F25" s="136"/>
      <c r="G25" s="136"/>
      <c r="H25" s="136"/>
      <c r="I25" s="34">
        <v>745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476">
        <f t="shared" si="0"/>
        <v>745</v>
      </c>
      <c r="AN25" s="65" t="str">
        <f t="shared" si="2"/>
        <v>AC</v>
      </c>
      <c r="AO25" s="67"/>
    </row>
    <row r="26" spans="1:41" s="37" customFormat="1" ht="12.75" customHeight="1">
      <c r="A26" s="32">
        <v>21</v>
      </c>
      <c r="B26" s="33">
        <v>42531</v>
      </c>
      <c r="C26" s="27" t="s">
        <v>316</v>
      </c>
      <c r="D26" s="27" t="s">
        <v>360</v>
      </c>
      <c r="E26" s="135"/>
      <c r="F26" s="136"/>
      <c r="G26" s="136"/>
      <c r="H26" s="136"/>
      <c r="I26" s="34">
        <v>859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476">
        <f t="shared" si="0"/>
        <v>859</v>
      </c>
      <c r="AN26" s="65" t="str">
        <f t="shared" si="2"/>
        <v>AC</v>
      </c>
      <c r="AO26" s="67"/>
    </row>
    <row r="27" spans="1:41" s="37" customFormat="1" ht="12.75" customHeight="1">
      <c r="A27" s="32">
        <v>22</v>
      </c>
      <c r="B27" s="33">
        <v>42557</v>
      </c>
      <c r="C27" s="27" t="s">
        <v>315</v>
      </c>
      <c r="D27" s="27" t="s">
        <v>360</v>
      </c>
      <c r="E27" s="135"/>
      <c r="F27" s="136"/>
      <c r="G27" s="136"/>
      <c r="H27" s="136"/>
      <c r="I27" s="34">
        <v>310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476">
        <f t="shared" si="0"/>
        <v>310</v>
      </c>
      <c r="AN27" s="65" t="str">
        <f t="shared" si="2"/>
        <v>AC</v>
      </c>
      <c r="AO27" s="67"/>
    </row>
    <row r="28" spans="1:41" s="37" customFormat="1" ht="12.75" customHeight="1">
      <c r="A28" s="32">
        <v>23</v>
      </c>
      <c r="B28" s="33">
        <v>42559</v>
      </c>
      <c r="C28" s="27" t="s">
        <v>316</v>
      </c>
      <c r="D28" s="27" t="s">
        <v>360</v>
      </c>
      <c r="E28" s="135"/>
      <c r="F28" s="136"/>
      <c r="G28" s="136"/>
      <c r="H28" s="136">
        <v>20500</v>
      </c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476">
        <f t="shared" si="0"/>
        <v>20500</v>
      </c>
      <c r="AN28" s="65" t="str">
        <f t="shared" si="2"/>
        <v>AC</v>
      </c>
      <c r="AO28" s="67"/>
    </row>
    <row r="29" spans="1:41" s="37" customFormat="1" ht="12.75" customHeight="1">
      <c r="A29" s="32">
        <v>24</v>
      </c>
      <c r="B29" s="33">
        <v>42629</v>
      </c>
      <c r="C29" s="27" t="s">
        <v>14</v>
      </c>
      <c r="D29" s="27">
        <v>101590</v>
      </c>
      <c r="E29" s="135"/>
      <c r="F29" s="136"/>
      <c r="G29" s="136"/>
      <c r="H29" s="136"/>
      <c r="I29" s="34">
        <v>518</v>
      </c>
      <c r="J29" s="35">
        <v>134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>
        <v>2000</v>
      </c>
      <c r="AE29" s="35"/>
      <c r="AF29" s="35"/>
      <c r="AG29" s="35"/>
      <c r="AH29" s="35"/>
      <c r="AI29" s="35"/>
      <c r="AJ29" s="35"/>
      <c r="AK29" s="35"/>
      <c r="AL29" s="35"/>
      <c r="AM29" s="476">
        <f t="shared" si="0"/>
        <v>2652</v>
      </c>
      <c r="AN29" s="65">
        <f t="shared" si="2"/>
        <v>101590</v>
      </c>
      <c r="AO29" s="67"/>
    </row>
    <row r="30" spans="1:41" s="37" customFormat="1" ht="12">
      <c r="A30" s="32">
        <v>25</v>
      </c>
      <c r="B30" s="33">
        <v>42639</v>
      </c>
      <c r="C30" s="27" t="s">
        <v>250</v>
      </c>
      <c r="D30" s="27" t="s">
        <v>360</v>
      </c>
      <c r="E30" s="135"/>
      <c r="F30" s="136"/>
      <c r="G30" s="136"/>
      <c r="H30" s="136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>
        <v>13524.4</v>
      </c>
      <c r="AE30" s="35"/>
      <c r="AF30" s="35"/>
      <c r="AG30" s="35"/>
      <c r="AH30" s="35"/>
      <c r="AI30" s="35"/>
      <c r="AJ30" s="35"/>
      <c r="AK30" s="35"/>
      <c r="AL30" s="35"/>
      <c r="AM30" s="476">
        <f t="shared" si="0"/>
        <v>13524.4</v>
      </c>
      <c r="AN30" s="65" t="str">
        <f>D30</f>
        <v>AC</v>
      </c>
      <c r="AO30" s="67"/>
    </row>
    <row r="31" spans="1:41" s="37" customFormat="1" ht="12">
      <c r="A31" s="32">
        <v>26</v>
      </c>
      <c r="B31" s="33">
        <v>42642</v>
      </c>
      <c r="C31" s="27" t="s">
        <v>160</v>
      </c>
      <c r="D31" s="27" t="s">
        <v>360</v>
      </c>
      <c r="E31" s="135"/>
      <c r="F31" s="136">
        <v>3000</v>
      </c>
      <c r="G31" s="136"/>
      <c r="H31" s="136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76">
        <f t="shared" si="0"/>
        <v>3000</v>
      </c>
      <c r="AN31" s="65" t="str">
        <f t="shared" si="1"/>
        <v>AC</v>
      </c>
      <c r="AO31" s="67"/>
    </row>
    <row r="32" spans="1:41" s="37" customFormat="1" ht="12">
      <c r="A32" s="32">
        <v>27</v>
      </c>
      <c r="B32" s="33">
        <v>42650</v>
      </c>
      <c r="C32" s="27" t="s">
        <v>14</v>
      </c>
      <c r="D32" s="27">
        <v>101591</v>
      </c>
      <c r="E32" s="135"/>
      <c r="F32" s="136"/>
      <c r="G32" s="136"/>
      <c r="H32" s="136"/>
      <c r="I32" s="34">
        <v>358</v>
      </c>
      <c r="J32" s="35"/>
      <c r="K32" s="35"/>
      <c r="L32" s="35"/>
      <c r="M32" s="35"/>
      <c r="N32" s="35"/>
      <c r="O32" s="35"/>
      <c r="P32" s="35"/>
      <c r="Q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>
        <f>114+74</f>
        <v>188</v>
      </c>
      <c r="AG32" s="35"/>
      <c r="AH32" s="35"/>
      <c r="AI32" s="35"/>
      <c r="AJ32" s="35"/>
      <c r="AK32" s="35"/>
      <c r="AL32" s="35"/>
      <c r="AM32" s="476">
        <f t="shared" si="0"/>
        <v>546</v>
      </c>
      <c r="AN32" s="65">
        <f t="shared" si="1"/>
        <v>101591</v>
      </c>
      <c r="AO32" s="67"/>
    </row>
    <row r="33" spans="1:41" s="37" customFormat="1" ht="12">
      <c r="A33" s="32">
        <v>28</v>
      </c>
      <c r="B33" s="33">
        <v>42657</v>
      </c>
      <c r="C33" s="27" t="s">
        <v>14</v>
      </c>
      <c r="D33" s="27">
        <v>101592</v>
      </c>
      <c r="E33" s="135"/>
      <c r="F33" s="136"/>
      <c r="G33" s="136"/>
      <c r="H33" s="136"/>
      <c r="I33" s="34"/>
      <c r="J33" s="35">
        <v>130</v>
      </c>
      <c r="K33" s="35"/>
      <c r="L33" s="35"/>
      <c r="M33" s="35"/>
      <c r="N33" s="35"/>
      <c r="O33" s="35">
        <v>25</v>
      </c>
      <c r="P33" s="35">
        <v>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64</v>
      </c>
      <c r="AG33" s="35"/>
      <c r="AH33" s="35"/>
      <c r="AI33" s="35"/>
      <c r="AJ33" s="35"/>
      <c r="AK33" s="35"/>
      <c r="AL33" s="35"/>
      <c r="AM33" s="476">
        <f t="shared" si="0"/>
        <v>227</v>
      </c>
      <c r="AN33" s="65">
        <f t="shared" si="1"/>
        <v>101592</v>
      </c>
      <c r="AO33" s="67"/>
    </row>
    <row r="34" spans="1:41" s="37" customFormat="1" ht="12">
      <c r="A34" s="32">
        <v>29</v>
      </c>
      <c r="B34" s="33">
        <v>42613</v>
      </c>
      <c r="C34" s="27" t="s">
        <v>315</v>
      </c>
      <c r="D34" s="27" t="s">
        <v>360</v>
      </c>
      <c r="E34" s="135"/>
      <c r="F34" s="136"/>
      <c r="G34" s="136"/>
      <c r="H34" s="136"/>
      <c r="I34" s="34"/>
      <c r="J34" s="36"/>
      <c r="K34" s="36"/>
      <c r="L34" s="36"/>
      <c r="M34" s="36"/>
      <c r="N34" s="36"/>
      <c r="O34" s="36">
        <v>75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476">
        <f t="shared" si="0"/>
        <v>75</v>
      </c>
      <c r="AN34" s="65" t="str">
        <f t="shared" si="1"/>
        <v>AC</v>
      </c>
      <c r="AO34" s="67"/>
    </row>
    <row r="35" spans="1:41" s="37" customFormat="1" ht="12">
      <c r="A35" s="32">
        <v>30</v>
      </c>
      <c r="B35" s="33">
        <v>42615</v>
      </c>
      <c r="C35" s="27" t="s">
        <v>315</v>
      </c>
      <c r="D35" s="27" t="s">
        <v>360</v>
      </c>
      <c r="E35" s="135"/>
      <c r="F35" s="136"/>
      <c r="G35" s="136"/>
      <c r="H35" s="136"/>
      <c r="I35" s="34">
        <v>310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76">
        <f t="shared" si="0"/>
        <v>310</v>
      </c>
      <c r="AN35" s="65" t="str">
        <f t="shared" si="1"/>
        <v>AC</v>
      </c>
      <c r="AO35" s="67"/>
    </row>
    <row r="36" spans="1:41" s="37" customFormat="1" ht="12">
      <c r="A36" s="32">
        <v>31</v>
      </c>
      <c r="B36" s="33">
        <v>42615</v>
      </c>
      <c r="C36" s="27" t="s">
        <v>316</v>
      </c>
      <c r="D36" s="27"/>
      <c r="E36" s="135"/>
      <c r="F36" s="136"/>
      <c r="G36" s="136"/>
      <c r="H36" s="136"/>
      <c r="I36" s="34">
        <v>120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76">
        <f t="shared" si="0"/>
        <v>120</v>
      </c>
      <c r="AN36" s="65">
        <f t="shared" si="1"/>
        <v>0</v>
      </c>
      <c r="AO36" s="67"/>
    </row>
    <row r="37" spans="1:41" s="37" customFormat="1" ht="12">
      <c r="A37" s="32">
        <v>32</v>
      </c>
      <c r="B37" s="33">
        <v>42627</v>
      </c>
      <c r="C37" s="38" t="s">
        <v>374</v>
      </c>
      <c r="D37" s="27" t="s">
        <v>360</v>
      </c>
      <c r="E37" s="137"/>
      <c r="F37" s="138"/>
      <c r="G37" s="138"/>
      <c r="H37" s="138"/>
      <c r="I37" s="34">
        <v>358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76">
        <f t="shared" si="0"/>
        <v>358</v>
      </c>
      <c r="AN37" s="65" t="str">
        <f t="shared" si="1"/>
        <v>AC</v>
      </c>
      <c r="AO37" s="67"/>
    </row>
    <row r="38" spans="1:41" s="37" customFormat="1" ht="12">
      <c r="A38" s="32">
        <v>33</v>
      </c>
      <c r="B38" s="33">
        <v>42636</v>
      </c>
      <c r="C38" s="38" t="s">
        <v>316</v>
      </c>
      <c r="D38" s="27"/>
      <c r="E38" s="135"/>
      <c r="F38" s="136"/>
      <c r="G38" s="136"/>
      <c r="H38" s="136"/>
      <c r="I38" s="34">
        <v>180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76">
        <f t="shared" si="0"/>
        <v>180</v>
      </c>
      <c r="AN38" s="65">
        <f t="shared" si="1"/>
        <v>0</v>
      </c>
      <c r="AO38" s="67"/>
    </row>
    <row r="39" spans="1:41" s="37" customFormat="1" ht="12">
      <c r="A39" s="32">
        <v>34</v>
      </c>
      <c r="B39" s="33">
        <v>42671</v>
      </c>
      <c r="C39" s="38" t="s">
        <v>316</v>
      </c>
      <c r="D39" s="27"/>
      <c r="E39" s="135"/>
      <c r="F39" s="136"/>
      <c r="G39" s="136"/>
      <c r="H39" s="136">
        <v>20500</v>
      </c>
      <c r="I39" s="34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476">
        <f t="shared" si="0"/>
        <v>20500</v>
      </c>
      <c r="AN39" s="65">
        <f t="shared" si="1"/>
        <v>0</v>
      </c>
      <c r="AO39" s="67"/>
    </row>
    <row r="40" spans="1:41" s="37" customFormat="1" ht="12">
      <c r="A40" s="32">
        <v>35</v>
      </c>
      <c r="B40" s="33">
        <v>42665</v>
      </c>
      <c r="C40" s="27" t="s">
        <v>250</v>
      </c>
      <c r="D40" s="27" t="s">
        <v>360</v>
      </c>
      <c r="E40" s="135"/>
      <c r="F40" s="136"/>
      <c r="G40" s="136"/>
      <c r="H40" s="136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>
        <v>8183.6</v>
      </c>
      <c r="AH40" s="35"/>
      <c r="AI40" s="35"/>
      <c r="AJ40" s="35"/>
      <c r="AK40" s="35"/>
      <c r="AL40" s="35"/>
      <c r="AM40" s="476">
        <f t="shared" si="0"/>
        <v>8183.6</v>
      </c>
      <c r="AN40" s="65" t="str">
        <f t="shared" si="1"/>
        <v>AC</v>
      </c>
      <c r="AO40" s="67"/>
    </row>
    <row r="41" spans="1:41" s="37" customFormat="1" ht="12">
      <c r="A41" s="32">
        <v>36</v>
      </c>
      <c r="B41" s="33">
        <v>42685</v>
      </c>
      <c r="C41" s="38" t="s">
        <v>14</v>
      </c>
      <c r="D41" s="27">
        <v>101594</v>
      </c>
      <c r="E41" s="135"/>
      <c r="F41" s="136"/>
      <c r="G41" s="136"/>
      <c r="H41" s="136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>
        <v>376</v>
      </c>
      <c r="AG41" s="35"/>
      <c r="AH41" s="35"/>
      <c r="AI41" s="35"/>
      <c r="AJ41" s="35"/>
      <c r="AK41" s="35"/>
      <c r="AL41" s="35"/>
      <c r="AM41" s="476">
        <f t="shared" si="0"/>
        <v>376</v>
      </c>
      <c r="AN41" s="65">
        <f t="shared" si="1"/>
        <v>101594</v>
      </c>
      <c r="AO41" s="67"/>
    </row>
    <row r="42" spans="1:41" s="37" customFormat="1" ht="12">
      <c r="A42" s="32">
        <v>37</v>
      </c>
      <c r="B42" s="33">
        <v>42685</v>
      </c>
      <c r="C42" s="38" t="s">
        <v>14</v>
      </c>
      <c r="D42" s="27">
        <v>101595</v>
      </c>
      <c r="E42" s="135"/>
      <c r="F42" s="136"/>
      <c r="G42" s="136"/>
      <c r="H42" s="136"/>
      <c r="I42" s="34"/>
      <c r="J42" s="35"/>
      <c r="K42" s="35"/>
      <c r="L42" s="35"/>
      <c r="M42" s="35"/>
      <c r="N42" s="35"/>
      <c r="O42" s="35"/>
      <c r="P42" s="35">
        <v>94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>
        <f>136+160</f>
        <v>296</v>
      </c>
      <c r="AG42" s="35"/>
      <c r="AH42" s="35"/>
      <c r="AI42" s="35"/>
      <c r="AJ42" s="35"/>
      <c r="AK42" s="35"/>
      <c r="AL42" s="35"/>
      <c r="AM42" s="476">
        <f t="shared" si="0"/>
        <v>390</v>
      </c>
      <c r="AN42" s="65">
        <f t="shared" si="1"/>
        <v>101595</v>
      </c>
      <c r="AO42" s="67"/>
    </row>
    <row r="43" spans="1:41" s="37" customFormat="1" ht="12">
      <c r="A43" s="32">
        <v>38</v>
      </c>
      <c r="B43" s="33">
        <v>42682</v>
      </c>
      <c r="C43" s="38" t="s">
        <v>250</v>
      </c>
      <c r="D43" s="27" t="s">
        <v>360</v>
      </c>
      <c r="E43" s="135"/>
      <c r="F43" s="136"/>
      <c r="G43" s="136"/>
      <c r="H43" s="136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>
        <v>3266.9</v>
      </c>
      <c r="AG43" s="35"/>
      <c r="AH43" s="35"/>
      <c r="AI43" s="35"/>
      <c r="AJ43" s="35"/>
      <c r="AK43" s="35"/>
      <c r="AL43" s="35"/>
      <c r="AM43" s="476">
        <f t="shared" si="0"/>
        <v>3266.9</v>
      </c>
      <c r="AN43" s="65" t="str">
        <f t="shared" si="1"/>
        <v>AC</v>
      </c>
      <c r="AO43" s="67"/>
    </row>
    <row r="44" spans="1:41" s="37" customFormat="1" ht="12">
      <c r="A44" s="32">
        <v>39</v>
      </c>
      <c r="B44" s="33">
        <v>42691</v>
      </c>
      <c r="C44" s="38" t="s">
        <v>14</v>
      </c>
      <c r="D44" s="27">
        <v>101596</v>
      </c>
      <c r="E44" s="135"/>
      <c r="F44" s="136"/>
      <c r="G44" s="136"/>
      <c r="H44" s="136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>
        <v>317</v>
      </c>
      <c r="AG44" s="35"/>
      <c r="AH44" s="35"/>
      <c r="AI44" s="35"/>
      <c r="AJ44" s="35"/>
      <c r="AK44" s="35"/>
      <c r="AL44" s="35"/>
      <c r="AM44" s="476">
        <f t="shared" si="0"/>
        <v>317</v>
      </c>
      <c r="AN44" s="65">
        <f t="shared" si="1"/>
        <v>101596</v>
      </c>
      <c r="AO44" s="67"/>
    </row>
    <row r="45" spans="1:41" s="37" customFormat="1" ht="12">
      <c r="A45" s="32">
        <v>40</v>
      </c>
      <c r="B45" s="33">
        <v>42704</v>
      </c>
      <c r="C45" s="38" t="s">
        <v>14</v>
      </c>
      <c r="D45" s="27">
        <v>101597</v>
      </c>
      <c r="E45" s="135"/>
      <c r="F45" s="136"/>
      <c r="G45" s="136"/>
      <c r="H45" s="136"/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>
        <v>352</v>
      </c>
      <c r="AG45" s="35"/>
      <c r="AH45" s="35"/>
      <c r="AI45" s="35"/>
      <c r="AJ45" s="35"/>
      <c r="AK45" s="35"/>
      <c r="AL45" s="35"/>
      <c r="AM45" s="476">
        <f t="shared" si="0"/>
        <v>352</v>
      </c>
      <c r="AN45" s="65">
        <f t="shared" si="1"/>
        <v>101597</v>
      </c>
      <c r="AO45" s="67"/>
    </row>
    <row r="46" spans="1:41" s="37" customFormat="1" ht="12">
      <c r="A46" s="32">
        <v>41</v>
      </c>
      <c r="B46" s="33">
        <v>42705</v>
      </c>
      <c r="C46" s="38" t="s">
        <v>14</v>
      </c>
      <c r="D46" s="27">
        <v>101598</v>
      </c>
      <c r="E46" s="135"/>
      <c r="F46" s="136"/>
      <c r="G46" s="136"/>
      <c r="H46" s="136"/>
      <c r="I46" s="34">
        <v>350</v>
      </c>
      <c r="J46" s="35"/>
      <c r="K46" s="35"/>
      <c r="L46" s="35"/>
      <c r="M46" s="35"/>
      <c r="N46" s="35"/>
      <c r="O46" s="35"/>
      <c r="P46" s="35">
        <v>36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>
        <v>264</v>
      </c>
      <c r="AG46" s="35"/>
      <c r="AH46" s="35"/>
      <c r="AI46" s="35"/>
      <c r="AJ46" s="35"/>
      <c r="AK46" s="35"/>
      <c r="AL46" s="35"/>
      <c r="AM46" s="476">
        <f t="shared" si="0"/>
        <v>650</v>
      </c>
      <c r="AN46" s="65">
        <f t="shared" si="1"/>
        <v>101598</v>
      </c>
      <c r="AO46" s="67"/>
    </row>
    <row r="47" spans="1:41" s="37" customFormat="1" ht="12">
      <c r="A47" s="32">
        <v>42</v>
      </c>
      <c r="B47" s="33">
        <v>43077</v>
      </c>
      <c r="C47" s="38" t="s">
        <v>14</v>
      </c>
      <c r="D47" s="27">
        <v>101599</v>
      </c>
      <c r="E47" s="135"/>
      <c r="F47" s="136"/>
      <c r="G47" s="136"/>
      <c r="H47" s="136"/>
      <c r="I47" s="34"/>
      <c r="J47" s="35">
        <v>147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>
        <v>148</v>
      </c>
      <c r="AB47" s="35"/>
      <c r="AC47" s="35"/>
      <c r="AD47" s="35"/>
      <c r="AE47" s="35"/>
      <c r="AF47" s="35">
        <v>258.8</v>
      </c>
      <c r="AG47" s="35"/>
      <c r="AH47" s="35"/>
      <c r="AI47" s="35"/>
      <c r="AJ47" s="35"/>
      <c r="AK47" s="35"/>
      <c r="AL47" s="35"/>
      <c r="AM47" s="476">
        <f t="shared" si="0"/>
        <v>553.8</v>
      </c>
      <c r="AN47" s="65">
        <f t="shared" si="1"/>
        <v>101599</v>
      </c>
      <c r="AO47" s="67"/>
    </row>
    <row r="48" spans="1:41" s="37" customFormat="1" ht="12">
      <c r="A48" s="32">
        <v>43</v>
      </c>
      <c r="B48" s="33">
        <v>43085</v>
      </c>
      <c r="C48" s="38" t="s">
        <v>14</v>
      </c>
      <c r="D48" s="27">
        <v>101600</v>
      </c>
      <c r="E48" s="135"/>
      <c r="F48" s="136"/>
      <c r="G48" s="136"/>
      <c r="H48" s="136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>
        <v>308</v>
      </c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76">
        <f t="shared" si="0"/>
        <v>308</v>
      </c>
      <c r="AN48" s="65">
        <f t="shared" si="1"/>
        <v>101600</v>
      </c>
      <c r="AO48" s="67"/>
    </row>
    <row r="49" spans="1:41" s="37" customFormat="1" ht="12">
      <c r="A49" s="32">
        <v>44</v>
      </c>
      <c r="B49" s="33">
        <v>43092</v>
      </c>
      <c r="C49" s="38" t="s">
        <v>250</v>
      </c>
      <c r="D49" s="27" t="s">
        <v>360</v>
      </c>
      <c r="E49" s="135"/>
      <c r="F49" s="136"/>
      <c r="G49" s="136"/>
      <c r="H49" s="136"/>
      <c r="I49" s="3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>
        <v>8373.7</v>
      </c>
      <c r="AG49" s="35"/>
      <c r="AH49" s="35"/>
      <c r="AI49" s="35"/>
      <c r="AJ49" s="35"/>
      <c r="AK49" s="35"/>
      <c r="AL49" s="35"/>
      <c r="AM49" s="476">
        <f t="shared" si="0"/>
        <v>8373.7</v>
      </c>
      <c r="AN49" s="65" t="str">
        <f t="shared" si="1"/>
        <v>AC</v>
      </c>
      <c r="AO49" s="67"/>
    </row>
    <row r="50" spans="1:41" s="37" customFormat="1" ht="12">
      <c r="A50" s="32">
        <v>45</v>
      </c>
      <c r="B50" s="33">
        <v>43097</v>
      </c>
      <c r="C50" s="38" t="s">
        <v>399</v>
      </c>
      <c r="D50" s="27" t="s">
        <v>360</v>
      </c>
      <c r="E50" s="135"/>
      <c r="F50" s="136"/>
      <c r="G50" s="136"/>
      <c r="H50" s="136"/>
      <c r="I50" s="34"/>
      <c r="J50" s="35"/>
      <c r="K50" s="35"/>
      <c r="L50" s="35"/>
      <c r="M50" s="35"/>
      <c r="N50" s="35"/>
      <c r="O50" s="35"/>
      <c r="P50" s="35">
        <v>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76">
        <f t="shared" si="0"/>
        <v>8</v>
      </c>
      <c r="AN50" s="65" t="str">
        <f t="shared" si="1"/>
        <v>AC</v>
      </c>
      <c r="AO50" s="67"/>
    </row>
    <row r="51" spans="1:41" s="37" customFormat="1" ht="12">
      <c r="A51" s="32">
        <v>46</v>
      </c>
      <c r="B51" s="33">
        <v>43039</v>
      </c>
      <c r="C51" s="38" t="s">
        <v>405</v>
      </c>
      <c r="D51" s="27" t="s">
        <v>360</v>
      </c>
      <c r="E51" s="135"/>
      <c r="F51" s="136"/>
      <c r="G51" s="136"/>
      <c r="H51" s="136"/>
      <c r="I51" s="34">
        <v>100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76">
        <f t="shared" si="0"/>
        <v>100</v>
      </c>
      <c r="AN51" s="65" t="str">
        <f t="shared" si="1"/>
        <v>AC</v>
      </c>
      <c r="AO51" s="67"/>
    </row>
    <row r="52" spans="1:41" s="286" customFormat="1" ht="12">
      <c r="A52" s="32">
        <v>47</v>
      </c>
      <c r="B52" s="283">
        <v>43054</v>
      </c>
      <c r="C52" s="38" t="s">
        <v>406</v>
      </c>
      <c r="D52" s="27" t="s">
        <v>360</v>
      </c>
      <c r="E52" s="133"/>
      <c r="F52" s="134"/>
      <c r="G52" s="134"/>
      <c r="H52" s="134"/>
      <c r="I52" s="284"/>
      <c r="J52" s="29"/>
      <c r="K52" s="29"/>
      <c r="L52" s="29"/>
      <c r="M52" s="29"/>
      <c r="N52" s="29"/>
      <c r="O52" s="29">
        <v>35</v>
      </c>
      <c r="P52" s="29"/>
      <c r="Q52" s="29"/>
      <c r="R52" s="29"/>
      <c r="S52" s="29"/>
      <c r="T52" s="29"/>
      <c r="U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476">
        <f aca="true" t="shared" si="3" ref="AM52:AM82">SUM(E52:AL52)</f>
        <v>35</v>
      </c>
      <c r="AN52" s="65" t="str">
        <f aca="true" t="shared" si="4" ref="AN52:AN82">D52</f>
        <v>AC</v>
      </c>
      <c r="AO52" s="285"/>
    </row>
    <row r="53" spans="1:41" s="286" customFormat="1" ht="12">
      <c r="A53" s="32">
        <v>48</v>
      </c>
      <c r="B53" s="283">
        <v>43071</v>
      </c>
      <c r="C53" s="38" t="s">
        <v>407</v>
      </c>
      <c r="D53" s="27" t="s">
        <v>360</v>
      </c>
      <c r="E53" s="133"/>
      <c r="F53" s="134"/>
      <c r="G53" s="134"/>
      <c r="H53" s="134"/>
      <c r="I53" s="284"/>
      <c r="J53" s="29"/>
      <c r="K53" s="29"/>
      <c r="L53" s="29"/>
      <c r="M53" s="29">
        <v>68</v>
      </c>
      <c r="N53" s="29"/>
      <c r="O53" s="29"/>
      <c r="P53" s="29"/>
      <c r="Q53" s="29"/>
      <c r="R53" s="29"/>
      <c r="S53" s="29"/>
      <c r="T53" s="29"/>
      <c r="U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476">
        <f t="shared" si="3"/>
        <v>68</v>
      </c>
      <c r="AN53" s="65" t="str">
        <f t="shared" si="4"/>
        <v>AC</v>
      </c>
      <c r="AO53" s="285"/>
    </row>
    <row r="54" spans="1:41" ht="12">
      <c r="A54" s="32">
        <v>49</v>
      </c>
      <c r="B54" s="309">
        <v>43071</v>
      </c>
      <c r="C54" s="68" t="s">
        <v>316</v>
      </c>
      <c r="D54" s="68" t="s">
        <v>360</v>
      </c>
      <c r="E54" s="310"/>
      <c r="F54" s="310"/>
      <c r="G54" s="310"/>
      <c r="H54" s="310"/>
      <c r="I54" s="311">
        <v>120</v>
      </c>
      <c r="J54" s="311"/>
      <c r="K54" s="311"/>
      <c r="L54" s="311"/>
      <c r="M54" s="311"/>
      <c r="N54" s="311"/>
      <c r="O54" s="406"/>
      <c r="P54" s="311"/>
      <c r="Q54" s="311"/>
      <c r="R54" s="311"/>
      <c r="S54" s="311"/>
      <c r="T54" s="311"/>
      <c r="U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7"/>
      <c r="AG54" s="311"/>
      <c r="AH54" s="311"/>
      <c r="AI54" s="311"/>
      <c r="AJ54" s="311"/>
      <c r="AK54" s="311"/>
      <c r="AL54" s="311"/>
      <c r="AM54" s="503">
        <f t="shared" si="3"/>
        <v>120</v>
      </c>
      <c r="AN54" s="312" t="str">
        <f t="shared" si="4"/>
        <v>AC</v>
      </c>
      <c r="AO54" s="7"/>
    </row>
    <row r="55" spans="1:41" ht="12">
      <c r="A55" s="32">
        <v>50</v>
      </c>
      <c r="B55" s="309">
        <v>43077</v>
      </c>
      <c r="C55" s="68" t="s">
        <v>408</v>
      </c>
      <c r="D55" s="68" t="s">
        <v>410</v>
      </c>
      <c r="E55" s="310"/>
      <c r="F55" s="310"/>
      <c r="G55" s="310"/>
      <c r="H55" s="310"/>
      <c r="I55" s="311">
        <v>420</v>
      </c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503">
        <f>SUM(E55:AL55)</f>
        <v>420</v>
      </c>
      <c r="AN55" s="312" t="str">
        <f t="shared" si="4"/>
        <v>Inv 905</v>
      </c>
      <c r="AO55" s="7"/>
    </row>
    <row r="56" spans="1:41" ht="12">
      <c r="A56" s="32">
        <v>51</v>
      </c>
      <c r="B56" s="309">
        <v>43081</v>
      </c>
      <c r="C56" s="68" t="s">
        <v>257</v>
      </c>
      <c r="D56" s="68" t="s">
        <v>409</v>
      </c>
      <c r="E56" s="310"/>
      <c r="F56" s="310"/>
      <c r="G56" s="310"/>
      <c r="H56" s="310"/>
      <c r="I56" s="311">
        <v>232.75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503">
        <f t="shared" si="3"/>
        <v>232.75</v>
      </c>
      <c r="AN56" s="312" t="str">
        <f t="shared" si="4"/>
        <v>Inv 906</v>
      </c>
      <c r="AO56" s="7"/>
    </row>
    <row r="57" spans="1:41" ht="12">
      <c r="A57" s="32">
        <v>52</v>
      </c>
      <c r="B57" s="309">
        <v>43089</v>
      </c>
      <c r="C57" s="68" t="s">
        <v>257</v>
      </c>
      <c r="D57" s="68" t="s">
        <v>360</v>
      </c>
      <c r="E57" s="310"/>
      <c r="F57" s="310"/>
      <c r="G57" s="310"/>
      <c r="H57" s="310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>
        <v>9000</v>
      </c>
      <c r="AM57" s="503">
        <f t="shared" si="3"/>
        <v>9000</v>
      </c>
      <c r="AN57" s="312" t="str">
        <f t="shared" si="4"/>
        <v>AC</v>
      </c>
      <c r="AO57" s="496" t="s">
        <v>411</v>
      </c>
    </row>
    <row r="58" spans="1:41" ht="12">
      <c r="A58" s="32">
        <v>53</v>
      </c>
      <c r="B58" s="495">
        <v>43068</v>
      </c>
      <c r="C58" s="329" t="s">
        <v>250</v>
      </c>
      <c r="D58" s="329" t="s">
        <v>360</v>
      </c>
      <c r="E58" s="330"/>
      <c r="F58" s="330"/>
      <c r="G58" s="330"/>
      <c r="H58" s="330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>
        <v>5212.3</v>
      </c>
      <c r="AG58" s="333"/>
      <c r="AH58" s="333"/>
      <c r="AI58" s="333"/>
      <c r="AJ58" s="333"/>
      <c r="AK58" s="333"/>
      <c r="AL58" s="333"/>
      <c r="AM58" s="503">
        <f t="shared" si="3"/>
        <v>5212.3</v>
      </c>
      <c r="AN58" s="312" t="str">
        <f t="shared" si="4"/>
        <v>AC</v>
      </c>
      <c r="AO58" s="7"/>
    </row>
    <row r="59" spans="1:41" ht="12">
      <c r="A59" s="32">
        <v>54</v>
      </c>
      <c r="B59" s="495">
        <v>42744</v>
      </c>
      <c r="C59" s="329" t="s">
        <v>14</v>
      </c>
      <c r="D59" s="329">
        <v>101601</v>
      </c>
      <c r="E59" s="330"/>
      <c r="F59" s="330"/>
      <c r="G59" s="330"/>
      <c r="H59" s="330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>
        <f>272+28</f>
        <v>300</v>
      </c>
      <c r="AB59" s="333"/>
      <c r="AC59" s="333"/>
      <c r="AD59" s="333"/>
      <c r="AE59" s="333"/>
      <c r="AF59" s="333">
        <v>46</v>
      </c>
      <c r="AG59" s="333"/>
      <c r="AH59" s="333"/>
      <c r="AI59" s="333"/>
      <c r="AJ59" s="333"/>
      <c r="AK59" s="333"/>
      <c r="AL59" s="333"/>
      <c r="AM59" s="503">
        <f t="shared" si="3"/>
        <v>346</v>
      </c>
      <c r="AN59" s="312">
        <f t="shared" si="4"/>
        <v>101601</v>
      </c>
      <c r="AO59" s="7"/>
    </row>
    <row r="60" spans="1:41" ht="12">
      <c r="A60" s="32">
        <v>55</v>
      </c>
      <c r="B60" s="495">
        <v>42752</v>
      </c>
      <c r="C60" s="329" t="s">
        <v>14</v>
      </c>
      <c r="D60" s="329">
        <v>101602</v>
      </c>
      <c r="E60" s="330"/>
      <c r="F60" s="330"/>
      <c r="G60" s="330"/>
      <c r="H60" s="330"/>
      <c r="I60" s="333"/>
      <c r="J60" s="333"/>
      <c r="K60" s="333"/>
      <c r="L60" s="333">
        <v>60</v>
      </c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>
        <v>960</v>
      </c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503">
        <f t="shared" si="3"/>
        <v>1020</v>
      </c>
      <c r="AN60" s="312">
        <f t="shared" si="4"/>
        <v>101602</v>
      </c>
      <c r="AO60" s="7"/>
    </row>
    <row r="61" spans="1:41" ht="12">
      <c r="A61" s="32">
        <v>56</v>
      </c>
      <c r="B61" s="495">
        <v>42740</v>
      </c>
      <c r="C61" s="329" t="s">
        <v>160</v>
      </c>
      <c r="D61" s="329" t="s">
        <v>360</v>
      </c>
      <c r="E61" s="330"/>
      <c r="F61" s="330">
        <v>3000</v>
      </c>
      <c r="G61" s="330"/>
      <c r="H61" s="330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503">
        <f t="shared" si="3"/>
        <v>3000</v>
      </c>
      <c r="AN61" s="312" t="str">
        <f t="shared" si="4"/>
        <v>AC</v>
      </c>
      <c r="AO61" s="7"/>
    </row>
    <row r="62" spans="1:42" ht="12">
      <c r="A62" s="32">
        <v>57</v>
      </c>
      <c r="B62" s="495">
        <v>42759</v>
      </c>
      <c r="C62" s="329" t="s">
        <v>14</v>
      </c>
      <c r="D62" s="329">
        <v>101603</v>
      </c>
      <c r="E62" s="330"/>
      <c r="F62" s="330"/>
      <c r="G62" s="330"/>
      <c r="H62" s="330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>
        <v>320</v>
      </c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503">
        <f t="shared" si="3"/>
        <v>320</v>
      </c>
      <c r="AN62" s="312">
        <f t="shared" si="4"/>
        <v>101603</v>
      </c>
      <c r="AO62" s="6">
        <f>SUM(AM6:AM62)</f>
        <v>137015.68</v>
      </c>
      <c r="AP62" s="7" t="s">
        <v>457</v>
      </c>
    </row>
    <row r="63" spans="1:41" ht="12">
      <c r="A63" s="32">
        <v>58</v>
      </c>
      <c r="B63" s="495">
        <v>42766</v>
      </c>
      <c r="C63" s="329" t="s">
        <v>468</v>
      </c>
      <c r="D63" s="329" t="s">
        <v>360</v>
      </c>
      <c r="E63" s="330"/>
      <c r="F63" s="330"/>
      <c r="G63" s="330"/>
      <c r="H63" s="330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>
        <v>18407.65</v>
      </c>
      <c r="AD63" s="333"/>
      <c r="AE63" s="333"/>
      <c r="AF63" s="333"/>
      <c r="AG63" s="333"/>
      <c r="AH63" s="333"/>
      <c r="AI63" s="333"/>
      <c r="AJ63" s="333"/>
      <c r="AK63" s="333"/>
      <c r="AL63" s="333"/>
      <c r="AM63" s="503">
        <f t="shared" si="3"/>
        <v>18407.65</v>
      </c>
      <c r="AN63" s="312" t="str">
        <f t="shared" si="4"/>
        <v>AC</v>
      </c>
      <c r="AO63" s="7"/>
    </row>
    <row r="64" spans="1:41" ht="12">
      <c r="A64" s="32">
        <v>59</v>
      </c>
      <c r="B64" s="495">
        <v>42763</v>
      </c>
      <c r="C64" s="329" t="s">
        <v>14</v>
      </c>
      <c r="D64" s="329">
        <v>101604</v>
      </c>
      <c r="E64" s="330"/>
      <c r="F64" s="330"/>
      <c r="G64" s="330"/>
      <c r="H64" s="330"/>
      <c r="I64" s="333"/>
      <c r="J64" s="333">
        <v>4</v>
      </c>
      <c r="K64" s="333"/>
      <c r="L64" s="333"/>
      <c r="M64" s="333"/>
      <c r="N64" s="333"/>
      <c r="O64" s="333"/>
      <c r="P64" s="333">
        <v>206</v>
      </c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>
        <v>498</v>
      </c>
      <c r="AD64" s="333"/>
      <c r="AE64" s="333"/>
      <c r="AF64" s="333"/>
      <c r="AG64" s="333"/>
      <c r="AH64" s="333"/>
      <c r="AI64" s="333"/>
      <c r="AJ64" s="333"/>
      <c r="AK64" s="333"/>
      <c r="AL64" s="333"/>
      <c r="AM64" s="503">
        <f t="shared" si="3"/>
        <v>708</v>
      </c>
      <c r="AN64" s="312">
        <f t="shared" si="4"/>
        <v>101604</v>
      </c>
      <c r="AO64" s="7"/>
    </row>
    <row r="65" spans="1:41" ht="12">
      <c r="A65" s="32">
        <v>60</v>
      </c>
      <c r="B65" s="495">
        <v>42769</v>
      </c>
      <c r="C65" s="329" t="s">
        <v>14</v>
      </c>
      <c r="D65" s="329">
        <v>101605</v>
      </c>
      <c r="E65" s="330"/>
      <c r="F65" s="330"/>
      <c r="G65" s="330"/>
      <c r="H65" s="330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>
        <v>408</v>
      </c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503">
        <f t="shared" si="3"/>
        <v>408</v>
      </c>
      <c r="AN65" s="312">
        <f t="shared" si="4"/>
        <v>101605</v>
      </c>
      <c r="AO65" s="7"/>
    </row>
    <row r="66" spans="1:41" ht="12">
      <c r="A66" s="32">
        <v>61</v>
      </c>
      <c r="B66" s="495">
        <v>42773</v>
      </c>
      <c r="C66" s="329" t="s">
        <v>250</v>
      </c>
      <c r="D66" s="329" t="s">
        <v>360</v>
      </c>
      <c r="E66" s="330"/>
      <c r="F66" s="330"/>
      <c r="G66" s="330"/>
      <c r="H66" s="330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>
        <v>4052.8</v>
      </c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503">
        <f t="shared" si="3"/>
        <v>4052.8</v>
      </c>
      <c r="AN66" s="312" t="str">
        <f t="shared" si="4"/>
        <v>AC</v>
      </c>
      <c r="AO66" s="7"/>
    </row>
    <row r="67" spans="1:41" ht="12">
      <c r="A67" s="32">
        <v>62</v>
      </c>
      <c r="B67" s="495">
        <v>42773</v>
      </c>
      <c r="C67" s="329" t="s">
        <v>14</v>
      </c>
      <c r="D67" s="329">
        <v>101606</v>
      </c>
      <c r="E67" s="330"/>
      <c r="F67" s="330"/>
      <c r="G67" s="330"/>
      <c r="H67" s="330"/>
      <c r="I67" s="333"/>
      <c r="J67" s="333"/>
      <c r="K67" s="333"/>
      <c r="L67" s="333">
        <v>20</v>
      </c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>
        <v>532</v>
      </c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503">
        <f>SUM(E67:AL67)</f>
        <v>552</v>
      </c>
      <c r="AN67" s="312">
        <f>D67</f>
        <v>101606</v>
      </c>
      <c r="AO67" s="7"/>
    </row>
    <row r="68" spans="1:41" ht="12">
      <c r="A68" s="32">
        <v>63</v>
      </c>
      <c r="B68" s="495">
        <v>43034</v>
      </c>
      <c r="C68" s="329" t="s">
        <v>14</v>
      </c>
      <c r="D68" s="329">
        <v>101593</v>
      </c>
      <c r="E68" s="330"/>
      <c r="F68" s="330"/>
      <c r="G68" s="330"/>
      <c r="H68" s="330"/>
      <c r="I68" s="333"/>
      <c r="J68" s="333"/>
      <c r="K68" s="333"/>
      <c r="L68" s="333"/>
      <c r="M68" s="333"/>
      <c r="N68" s="333"/>
      <c r="O68" s="333">
        <v>100</v>
      </c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>
        <v>393.8</v>
      </c>
      <c r="AH68" s="333"/>
      <c r="AI68" s="333"/>
      <c r="AJ68" s="333"/>
      <c r="AK68" s="333"/>
      <c r="AL68" s="333"/>
      <c r="AM68" s="503">
        <f>SUM(E68:AL68)</f>
        <v>493.8</v>
      </c>
      <c r="AN68" s="312">
        <f>D68</f>
        <v>101593</v>
      </c>
      <c r="AO68" s="7"/>
    </row>
    <row r="69" spans="1:41" ht="12">
      <c r="A69" s="32">
        <v>64</v>
      </c>
      <c r="B69" s="495">
        <v>42796</v>
      </c>
      <c r="C69" s="329" t="s">
        <v>14</v>
      </c>
      <c r="D69" s="329">
        <v>101607</v>
      </c>
      <c r="E69" s="330"/>
      <c r="F69" s="330"/>
      <c r="G69" s="330"/>
      <c r="H69" s="330"/>
      <c r="I69" s="333">
        <v>305</v>
      </c>
      <c r="J69" s="333"/>
      <c r="K69" s="333"/>
      <c r="L69" s="333">
        <v>40</v>
      </c>
      <c r="M69" s="333"/>
      <c r="N69" s="333">
        <v>88</v>
      </c>
      <c r="O69" s="333">
        <v>75</v>
      </c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>
        <v>72</v>
      </c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503">
        <f>SUM(E69:AL69)</f>
        <v>580</v>
      </c>
      <c r="AN69" s="312">
        <f>D69</f>
        <v>101607</v>
      </c>
      <c r="AO69" s="7"/>
    </row>
    <row r="70" spans="1:41" ht="12">
      <c r="A70" s="32">
        <v>65</v>
      </c>
      <c r="B70" s="495">
        <v>42744</v>
      </c>
      <c r="C70" s="329" t="s">
        <v>500</v>
      </c>
      <c r="D70" s="329" t="s">
        <v>360</v>
      </c>
      <c r="E70" s="330"/>
      <c r="F70" s="330"/>
      <c r="G70" s="330"/>
      <c r="H70" s="330"/>
      <c r="I70" s="333">
        <v>200</v>
      </c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503">
        <f>SUM(E70:AL70)</f>
        <v>200</v>
      </c>
      <c r="AN70" s="312" t="str">
        <f>D70</f>
        <v>AC</v>
      </c>
      <c r="AO70" s="7"/>
    </row>
    <row r="71" spans="1:41" ht="12">
      <c r="A71" s="32">
        <v>66</v>
      </c>
      <c r="B71" s="495">
        <v>42753</v>
      </c>
      <c r="C71" s="329" t="s">
        <v>501</v>
      </c>
      <c r="D71" s="329" t="s">
        <v>360</v>
      </c>
      <c r="E71" s="330"/>
      <c r="F71" s="330"/>
      <c r="G71" s="330"/>
      <c r="H71" s="330"/>
      <c r="I71" s="333">
        <v>175</v>
      </c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503">
        <f aca="true" t="shared" si="5" ref="AM71:AM80">SUM(E71:AL71)</f>
        <v>175</v>
      </c>
      <c r="AN71" s="312" t="str">
        <f aca="true" t="shared" si="6" ref="AN71:AN80">D71</f>
        <v>AC</v>
      </c>
      <c r="AO71" s="7"/>
    </row>
    <row r="72" spans="1:41" ht="12">
      <c r="A72" s="32">
        <v>67</v>
      </c>
      <c r="B72" s="495">
        <v>42754</v>
      </c>
      <c r="C72" s="329" t="s">
        <v>315</v>
      </c>
      <c r="D72" s="329" t="s">
        <v>360</v>
      </c>
      <c r="E72" s="330"/>
      <c r="F72" s="330"/>
      <c r="G72" s="330"/>
      <c r="H72" s="330"/>
      <c r="I72" s="333">
        <v>610</v>
      </c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503">
        <f t="shared" si="5"/>
        <v>610</v>
      </c>
      <c r="AN72" s="312" t="str">
        <f t="shared" si="6"/>
        <v>AC</v>
      </c>
      <c r="AO72" s="7"/>
    </row>
    <row r="73" spans="1:41" ht="12">
      <c r="A73" s="32">
        <v>68</v>
      </c>
      <c r="B73" s="495">
        <v>42781</v>
      </c>
      <c r="C73" s="329" t="s">
        <v>315</v>
      </c>
      <c r="D73" s="329" t="s">
        <v>360</v>
      </c>
      <c r="E73" s="330"/>
      <c r="F73" s="330"/>
      <c r="G73" s="330"/>
      <c r="H73" s="330"/>
      <c r="I73" s="333">
        <v>305</v>
      </c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503">
        <f t="shared" si="5"/>
        <v>305</v>
      </c>
      <c r="AN73" s="312" t="str">
        <f t="shared" si="6"/>
        <v>AC</v>
      </c>
      <c r="AO73" s="7"/>
    </row>
    <row r="74" spans="1:41" ht="12">
      <c r="A74" s="32">
        <v>69</v>
      </c>
      <c r="B74" s="495">
        <v>42783</v>
      </c>
      <c r="C74" s="329" t="s">
        <v>316</v>
      </c>
      <c r="D74" s="329" t="s">
        <v>360</v>
      </c>
      <c r="E74" s="330"/>
      <c r="F74" s="330"/>
      <c r="G74" s="330"/>
      <c r="H74" s="330"/>
      <c r="I74" s="333">
        <v>758</v>
      </c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503">
        <f t="shared" si="5"/>
        <v>758</v>
      </c>
      <c r="AN74" s="312" t="str">
        <f t="shared" si="6"/>
        <v>AC</v>
      </c>
      <c r="AO74" s="7"/>
    </row>
    <row r="75" spans="1:41" ht="12">
      <c r="A75" s="32">
        <v>70</v>
      </c>
      <c r="B75" s="495">
        <v>42790</v>
      </c>
      <c r="C75" s="329" t="s">
        <v>502</v>
      </c>
      <c r="D75" s="329" t="s">
        <v>360</v>
      </c>
      <c r="E75" s="330"/>
      <c r="F75" s="330"/>
      <c r="G75" s="330"/>
      <c r="H75" s="330"/>
      <c r="I75" s="333">
        <v>150</v>
      </c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503">
        <f t="shared" si="5"/>
        <v>150</v>
      </c>
      <c r="AN75" s="312" t="str">
        <f t="shared" si="6"/>
        <v>AC</v>
      </c>
      <c r="AO75" s="7"/>
    </row>
    <row r="76" spans="1:41" ht="12">
      <c r="A76" s="32">
        <v>71</v>
      </c>
      <c r="B76" s="495">
        <v>42794</v>
      </c>
      <c r="C76" s="329" t="s">
        <v>406</v>
      </c>
      <c r="D76" s="329" t="s">
        <v>360</v>
      </c>
      <c r="E76" s="330"/>
      <c r="F76" s="330"/>
      <c r="G76" s="330"/>
      <c r="H76" s="330"/>
      <c r="I76" s="333">
        <v>100</v>
      </c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503">
        <f t="shared" si="5"/>
        <v>100</v>
      </c>
      <c r="AN76" s="312" t="str">
        <f t="shared" si="6"/>
        <v>AC</v>
      </c>
      <c r="AO76" s="7"/>
    </row>
    <row r="77" spans="1:41" ht="12">
      <c r="A77" s="32">
        <v>72</v>
      </c>
      <c r="B77" s="495">
        <v>42807</v>
      </c>
      <c r="C77" s="329" t="s">
        <v>538</v>
      </c>
      <c r="D77" s="329" t="s">
        <v>360</v>
      </c>
      <c r="E77" s="330"/>
      <c r="F77" s="330"/>
      <c r="G77" s="330"/>
      <c r="H77" s="330"/>
      <c r="I77" s="333">
        <v>305</v>
      </c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503">
        <f t="shared" si="5"/>
        <v>305</v>
      </c>
      <c r="AN77" s="312" t="str">
        <f t="shared" si="6"/>
        <v>AC</v>
      </c>
      <c r="AO77" s="7"/>
    </row>
    <row r="78" spans="1:41" ht="12">
      <c r="A78" s="32">
        <v>73</v>
      </c>
      <c r="B78" s="495">
        <v>42814</v>
      </c>
      <c r="C78" s="329" t="s">
        <v>257</v>
      </c>
      <c r="D78" s="329" t="s">
        <v>360</v>
      </c>
      <c r="E78" s="330"/>
      <c r="F78" s="330"/>
      <c r="G78" s="330"/>
      <c r="H78" s="330"/>
      <c r="I78" s="333">
        <v>120</v>
      </c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503">
        <f t="shared" si="5"/>
        <v>120</v>
      </c>
      <c r="AN78" s="312" t="str">
        <f t="shared" si="6"/>
        <v>AC</v>
      </c>
      <c r="AO78" s="7"/>
    </row>
    <row r="79" spans="1:41" ht="12">
      <c r="A79" s="32">
        <v>74</v>
      </c>
      <c r="B79" s="495">
        <v>42814</v>
      </c>
      <c r="C79" s="329" t="s">
        <v>503</v>
      </c>
      <c r="D79" s="329" t="s">
        <v>360</v>
      </c>
      <c r="E79" s="330"/>
      <c r="F79" s="330"/>
      <c r="G79" s="330"/>
      <c r="H79" s="330"/>
      <c r="I79" s="333">
        <v>275</v>
      </c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503">
        <f t="shared" si="5"/>
        <v>275</v>
      </c>
      <c r="AN79" s="312" t="str">
        <f t="shared" si="6"/>
        <v>AC</v>
      </c>
      <c r="AO79" s="7"/>
    </row>
    <row r="80" spans="1:41" ht="12">
      <c r="A80" s="32">
        <v>75</v>
      </c>
      <c r="B80" s="495">
        <v>42795</v>
      </c>
      <c r="C80" s="329" t="s">
        <v>504</v>
      </c>
      <c r="D80" s="329" t="s">
        <v>360</v>
      </c>
      <c r="E80" s="330"/>
      <c r="F80" s="330"/>
      <c r="G80" s="330"/>
      <c r="H80" s="330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>
        <v>3000</v>
      </c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503">
        <f t="shared" si="5"/>
        <v>3000</v>
      </c>
      <c r="AN80" s="312" t="str">
        <f t="shared" si="6"/>
        <v>AC</v>
      </c>
      <c r="AO80" s="7"/>
    </row>
    <row r="81" spans="1:41" ht="12">
      <c r="A81" s="32">
        <v>76</v>
      </c>
      <c r="B81" s="495">
        <v>42819</v>
      </c>
      <c r="C81" s="329" t="s">
        <v>510</v>
      </c>
      <c r="D81" s="329" t="s">
        <v>360</v>
      </c>
      <c r="E81" s="330"/>
      <c r="F81" s="330"/>
      <c r="G81" s="330"/>
      <c r="H81" s="330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>
        <v>10741.4</v>
      </c>
      <c r="AE81" s="333"/>
      <c r="AF81" s="333"/>
      <c r="AG81" s="333"/>
      <c r="AH81" s="333"/>
      <c r="AI81" s="333"/>
      <c r="AJ81" s="333"/>
      <c r="AK81" s="333"/>
      <c r="AL81" s="333"/>
      <c r="AM81" s="503">
        <f>SUM(E81:AL81)</f>
        <v>10741.4</v>
      </c>
      <c r="AN81" s="312" t="str">
        <f>D81</f>
        <v>AC</v>
      </c>
      <c r="AO81" s="7"/>
    </row>
    <row r="82" spans="1:41" ht="12">
      <c r="A82" s="32">
        <v>77</v>
      </c>
      <c r="B82" s="495">
        <v>42825</v>
      </c>
      <c r="C82" s="329" t="s">
        <v>14</v>
      </c>
      <c r="D82" s="329">
        <v>101608</v>
      </c>
      <c r="E82" s="330"/>
      <c r="F82" s="330"/>
      <c r="G82" s="330"/>
      <c r="H82" s="330"/>
      <c r="I82" s="333">
        <v>900</v>
      </c>
      <c r="J82" s="333"/>
      <c r="K82" s="333"/>
      <c r="L82" s="333">
        <v>20</v>
      </c>
      <c r="M82" s="333"/>
      <c r="N82" s="333"/>
      <c r="O82" s="333"/>
      <c r="P82" s="333">
        <v>54</v>
      </c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>
        <v>100</v>
      </c>
      <c r="AE82" s="333"/>
      <c r="AF82" s="333"/>
      <c r="AG82" s="333"/>
      <c r="AH82" s="333"/>
      <c r="AI82" s="333"/>
      <c r="AJ82" s="333"/>
      <c r="AK82" s="333"/>
      <c r="AL82" s="333"/>
      <c r="AM82" s="503">
        <f t="shared" si="3"/>
        <v>1074</v>
      </c>
      <c r="AN82" s="312">
        <f t="shared" si="4"/>
        <v>101608</v>
      </c>
      <c r="AO82" s="7"/>
    </row>
    <row r="83" spans="1:41" ht="12">
      <c r="A83" s="32">
        <v>78</v>
      </c>
      <c r="B83" s="495">
        <v>42822</v>
      </c>
      <c r="C83" s="329" t="s">
        <v>160</v>
      </c>
      <c r="D83" s="329" t="s">
        <v>360</v>
      </c>
      <c r="E83" s="330"/>
      <c r="F83" s="330">
        <v>3000</v>
      </c>
      <c r="G83" s="330"/>
      <c r="H83" s="330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503">
        <f aca="true" t="shared" si="7" ref="AM83:AM89">SUM(E83:AL83)</f>
        <v>3000</v>
      </c>
      <c r="AN83" s="312" t="str">
        <f aca="true" t="shared" si="8" ref="AN83:AN88">D83</f>
        <v>AC</v>
      </c>
      <c r="AO83" s="7"/>
    </row>
    <row r="84" spans="1:41" ht="12">
      <c r="A84" s="32">
        <v>79</v>
      </c>
      <c r="B84" s="495">
        <v>42823</v>
      </c>
      <c r="C84" s="329" t="s">
        <v>537</v>
      </c>
      <c r="D84" s="329" t="s">
        <v>360</v>
      </c>
      <c r="E84" s="330"/>
      <c r="F84" s="330"/>
      <c r="G84" s="330"/>
      <c r="H84" s="330"/>
      <c r="I84" s="333">
        <v>1090</v>
      </c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503">
        <f t="shared" si="7"/>
        <v>1090</v>
      </c>
      <c r="AN84" s="312" t="str">
        <f t="shared" si="8"/>
        <v>AC</v>
      </c>
      <c r="AO84" s="7"/>
    </row>
    <row r="85" spans="1:41" ht="12">
      <c r="A85" s="32">
        <v>80</v>
      </c>
      <c r="B85" s="495">
        <v>42821</v>
      </c>
      <c r="C85" s="329" t="s">
        <v>539</v>
      </c>
      <c r="D85" s="329" t="s">
        <v>360</v>
      </c>
      <c r="E85" s="330"/>
      <c r="F85" s="330"/>
      <c r="G85" s="330"/>
      <c r="H85" s="330"/>
      <c r="I85" s="333">
        <v>305</v>
      </c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503">
        <f t="shared" si="7"/>
        <v>305</v>
      </c>
      <c r="AN85" s="312" t="str">
        <f t="shared" si="8"/>
        <v>AC</v>
      </c>
      <c r="AO85" s="7"/>
    </row>
    <row r="86" spans="1:41" ht="12">
      <c r="A86" s="32">
        <v>81</v>
      </c>
      <c r="B86" s="495">
        <v>42795</v>
      </c>
      <c r="C86" s="329" t="s">
        <v>159</v>
      </c>
      <c r="D86" s="329" t="s">
        <v>360</v>
      </c>
      <c r="E86" s="330"/>
      <c r="F86" s="330"/>
      <c r="G86" s="330"/>
      <c r="H86" s="330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>
        <v>9000</v>
      </c>
      <c r="AM86" s="503">
        <f t="shared" si="7"/>
        <v>9000</v>
      </c>
      <c r="AN86" s="312" t="str">
        <f t="shared" si="8"/>
        <v>AC</v>
      </c>
      <c r="AO86" s="7"/>
    </row>
    <row r="87" spans="1:41" ht="12">
      <c r="A87" s="32">
        <v>82</v>
      </c>
      <c r="B87" s="495">
        <v>42770</v>
      </c>
      <c r="C87" s="329" t="s">
        <v>565</v>
      </c>
      <c r="D87" s="329" t="s">
        <v>360</v>
      </c>
      <c r="E87" s="330"/>
      <c r="F87" s="330"/>
      <c r="G87" s="330"/>
      <c r="H87" s="330"/>
      <c r="I87" s="333"/>
      <c r="J87" s="333"/>
      <c r="K87" s="333"/>
      <c r="L87" s="333"/>
      <c r="M87" s="333">
        <v>12.8</v>
      </c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503">
        <f t="shared" si="7"/>
        <v>12.8</v>
      </c>
      <c r="AN87" s="312" t="str">
        <f t="shared" si="8"/>
        <v>AC</v>
      </c>
      <c r="AO87" s="7"/>
    </row>
    <row r="88" spans="1:41" ht="12">
      <c r="A88" s="32">
        <v>83</v>
      </c>
      <c r="B88" s="495">
        <v>42818</v>
      </c>
      <c r="C88" s="329" t="s">
        <v>316</v>
      </c>
      <c r="D88" s="329" t="s">
        <v>360</v>
      </c>
      <c r="E88" s="330"/>
      <c r="F88" s="330"/>
      <c r="G88" s="330"/>
      <c r="H88" s="330"/>
      <c r="I88" s="333">
        <v>264</v>
      </c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503">
        <f t="shared" si="7"/>
        <v>264</v>
      </c>
      <c r="AN88" s="312" t="str">
        <f t="shared" si="8"/>
        <v>AC</v>
      </c>
      <c r="AO88" s="7"/>
    </row>
    <row r="89" spans="1:41" ht="12">
      <c r="A89" s="32">
        <v>84</v>
      </c>
      <c r="B89" s="495"/>
      <c r="C89" s="329" t="s">
        <v>575</v>
      </c>
      <c r="D89" s="329"/>
      <c r="E89" s="330"/>
      <c r="F89" s="330"/>
      <c r="G89" s="330"/>
      <c r="H89" s="330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>
        <v>67.96</v>
      </c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503">
        <f t="shared" si="7"/>
        <v>67.96</v>
      </c>
      <c r="AN89" s="585"/>
      <c r="AO89" s="7"/>
    </row>
    <row r="90" spans="1:41" s="146" customFormat="1" ht="12">
      <c r="A90" s="32">
        <v>84</v>
      </c>
      <c r="B90" s="314"/>
      <c r="C90" s="315" t="s">
        <v>574</v>
      </c>
      <c r="D90" s="315"/>
      <c r="E90" s="316"/>
      <c r="F90" s="316"/>
      <c r="G90" s="316"/>
      <c r="H90" s="316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>
        <f>-AL37-AL38-AL20</f>
        <v>0</v>
      </c>
      <c r="AM90" s="313">
        <f>SUM(E90:AL90)</f>
        <v>0</v>
      </c>
      <c r="AN90" s="318">
        <f>D90</f>
        <v>0</v>
      </c>
      <c r="AO90" s="147"/>
    </row>
    <row r="91" spans="2:41" s="14" customFormat="1" ht="12">
      <c r="B91" s="40"/>
      <c r="C91" s="40" t="s">
        <v>31</v>
      </c>
      <c r="D91" s="41"/>
      <c r="E91" s="41">
        <f aca="true" t="shared" si="9" ref="E91:AM91">SUM(E6:E90)</f>
        <v>0</v>
      </c>
      <c r="F91" s="41">
        <f t="shared" si="9"/>
        <v>12000</v>
      </c>
      <c r="G91" s="41">
        <f t="shared" si="9"/>
        <v>0</v>
      </c>
      <c r="H91" s="41">
        <f t="shared" si="9"/>
        <v>41000</v>
      </c>
      <c r="I91" s="41">
        <f t="shared" si="9"/>
        <v>13382.75</v>
      </c>
      <c r="J91" s="41">
        <f t="shared" si="9"/>
        <v>532</v>
      </c>
      <c r="K91" s="41">
        <f t="shared" si="9"/>
        <v>0</v>
      </c>
      <c r="L91" s="41">
        <f t="shared" si="9"/>
        <v>245</v>
      </c>
      <c r="M91" s="41">
        <f t="shared" si="9"/>
        <v>494.43</v>
      </c>
      <c r="N91" s="41">
        <f t="shared" si="9"/>
        <v>88</v>
      </c>
      <c r="O91" s="41">
        <f t="shared" si="9"/>
        <v>635</v>
      </c>
      <c r="P91" s="41">
        <f t="shared" si="9"/>
        <v>472</v>
      </c>
      <c r="Q91" s="41">
        <f t="shared" si="9"/>
        <v>0</v>
      </c>
      <c r="R91" s="41">
        <f t="shared" si="9"/>
        <v>0</v>
      </c>
      <c r="S91" s="41">
        <f t="shared" si="9"/>
        <v>0</v>
      </c>
      <c r="T91" s="41">
        <f t="shared" si="9"/>
        <v>67.96</v>
      </c>
      <c r="U91" s="41">
        <f t="shared" si="9"/>
        <v>0</v>
      </c>
      <c r="V91" s="41">
        <f t="shared" si="9"/>
        <v>7664.1</v>
      </c>
      <c r="W91" s="41">
        <f t="shared" si="9"/>
        <v>10929</v>
      </c>
      <c r="X91" s="41">
        <f t="shared" si="9"/>
        <v>0</v>
      </c>
      <c r="Y91" s="41">
        <f t="shared" si="9"/>
        <v>0</v>
      </c>
      <c r="Z91" s="41">
        <f t="shared" si="9"/>
        <v>20</v>
      </c>
      <c r="AA91" s="41">
        <f t="shared" si="9"/>
        <v>7100.8</v>
      </c>
      <c r="AB91" s="41">
        <f t="shared" si="9"/>
        <v>0</v>
      </c>
      <c r="AC91" s="41">
        <f t="shared" si="9"/>
        <v>18905.65</v>
      </c>
      <c r="AD91" s="41">
        <f t="shared" si="9"/>
        <v>32642.300000000003</v>
      </c>
      <c r="AE91" s="41">
        <f t="shared" si="9"/>
        <v>0</v>
      </c>
      <c r="AF91" s="41">
        <f t="shared" si="9"/>
        <v>19014.7</v>
      </c>
      <c r="AG91" s="41">
        <f t="shared" si="9"/>
        <v>8577.4</v>
      </c>
      <c r="AH91" s="41">
        <f t="shared" si="9"/>
        <v>0</v>
      </c>
      <c r="AI91" s="41">
        <f t="shared" si="9"/>
        <v>2000</v>
      </c>
      <c r="AJ91" s="41">
        <f t="shared" si="9"/>
        <v>0</v>
      </c>
      <c r="AK91" s="41">
        <f t="shared" si="9"/>
        <v>0</v>
      </c>
      <c r="AL91" s="41">
        <f t="shared" si="9"/>
        <v>18000</v>
      </c>
      <c r="AM91" s="144">
        <f t="shared" si="9"/>
        <v>193771.08999999994</v>
      </c>
      <c r="AO91" s="140">
        <f>SUM(E91:AL91)</f>
        <v>193771.09</v>
      </c>
    </row>
    <row r="92" spans="2:41" s="168" customFormat="1" ht="12">
      <c r="B92" s="169"/>
      <c r="C92" s="170"/>
      <c r="D92" s="170"/>
      <c r="E92" s="171"/>
      <c r="F92" s="172"/>
      <c r="G92" s="172"/>
      <c r="H92" s="172"/>
      <c r="I92" s="173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30">
        <f>SUM(E92:AL92)</f>
        <v>0</v>
      </c>
      <c r="AN92" s="65">
        <f>D92</f>
        <v>0</v>
      </c>
      <c r="AO92" s="175"/>
    </row>
    <row r="93" spans="4:37" ht="12">
      <c r="D93" s="160" t="s">
        <v>186</v>
      </c>
      <c r="E93" s="143">
        <v>15</v>
      </c>
      <c r="F93" s="143">
        <v>14</v>
      </c>
      <c r="G93" s="143">
        <v>16</v>
      </c>
      <c r="H93" s="143">
        <v>17</v>
      </c>
      <c r="I93" s="143">
        <v>19</v>
      </c>
      <c r="J93" s="143">
        <v>19</v>
      </c>
      <c r="K93" s="143">
        <v>19</v>
      </c>
      <c r="L93" s="143">
        <v>19</v>
      </c>
      <c r="M93" s="143">
        <v>23</v>
      </c>
      <c r="N93" s="143">
        <v>19</v>
      </c>
      <c r="O93" s="143">
        <v>19</v>
      </c>
      <c r="P93" s="143">
        <v>19</v>
      </c>
      <c r="Q93" s="143">
        <v>19</v>
      </c>
      <c r="R93" s="143">
        <v>19</v>
      </c>
      <c r="S93" s="143">
        <v>19</v>
      </c>
      <c r="T93" s="143">
        <v>18</v>
      </c>
      <c r="U93" s="143">
        <v>19</v>
      </c>
      <c r="V93" s="143">
        <v>28</v>
      </c>
      <c r="W93" s="143">
        <v>28</v>
      </c>
      <c r="X93" s="143">
        <v>28</v>
      </c>
      <c r="Y93" s="143">
        <v>28</v>
      </c>
      <c r="Z93" s="143">
        <v>28</v>
      </c>
      <c r="AA93" s="143">
        <v>28</v>
      </c>
      <c r="AB93" s="143">
        <v>28</v>
      </c>
      <c r="AC93" s="143">
        <v>30</v>
      </c>
      <c r="AD93" s="143">
        <v>29</v>
      </c>
      <c r="AE93" s="143">
        <v>28</v>
      </c>
      <c r="AF93" s="143">
        <v>31</v>
      </c>
      <c r="AG93" s="143"/>
      <c r="AH93" s="143">
        <v>31</v>
      </c>
      <c r="AI93" s="143">
        <v>33</v>
      </c>
      <c r="AJ93" s="143">
        <v>32</v>
      </c>
      <c r="AK93" s="143">
        <v>34</v>
      </c>
    </row>
    <row r="95" s="341" customFormat="1" ht="12">
      <c r="AM95" s="341">
        <f>SUM(E95:AL95)</f>
        <v>0</v>
      </c>
    </row>
  </sheetData>
  <sheetProtection/>
  <mergeCells count="4">
    <mergeCell ref="V2:AE2"/>
    <mergeCell ref="AH2:AK2"/>
    <mergeCell ref="V3:AB3"/>
    <mergeCell ref="I2:S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5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Orr</dc:creator>
  <cp:keywords/>
  <dc:description/>
  <cp:lastModifiedBy>Judith Temperton</cp:lastModifiedBy>
  <cp:lastPrinted>2017-10-23T12:00:41Z</cp:lastPrinted>
  <dcterms:created xsi:type="dcterms:W3CDTF">2002-09-03T18:38:48Z</dcterms:created>
  <dcterms:modified xsi:type="dcterms:W3CDTF">2017-10-30T11:00:15Z</dcterms:modified>
  <cp:category/>
  <cp:version/>
  <cp:contentType/>
  <cp:contentStatus/>
</cp:coreProperties>
</file>